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100" yWindow="45" windowWidth="20580" windowHeight="11385" activeTab="4"/>
  </bookViews>
  <sheets>
    <sheet name="BUDGET" sheetId="5" r:id="rId1"/>
    <sheet name="IE" sheetId="10" r:id="rId2"/>
    <sheet name="PV Table" sheetId="3" r:id="rId3"/>
    <sheet name="Budget Summary" sheetId="8" r:id="rId4"/>
    <sheet name="Council Budget" sheetId="12" r:id="rId5"/>
  </sheets>
  <definedNames>
    <definedName name="_xlnm._FilterDatabase" localSheetId="0" hidden="1">BUDGET!$A$2:$O$598</definedName>
    <definedName name="_xlnm._FilterDatabase" localSheetId="1" hidden="1">IE!$A$1:$B$1</definedName>
    <definedName name="_xlnm.Print_Area" localSheetId="0">BUDGET!$C$1:$M$601</definedName>
    <definedName name="_xlnm.Print_Area" localSheetId="3">'Budget Summary'!$A$1:$G$167</definedName>
    <definedName name="_xlnm.Print_Titles" localSheetId="4">'Council Budget'!#REF!</definedName>
  </definedNames>
  <calcPr calcId="125725"/>
  <pivotCaches>
    <pivotCache cacheId="0" r:id="rId6"/>
  </pivotCaches>
</workbook>
</file>

<file path=xl/calcChain.xml><?xml version="1.0" encoding="utf-8"?>
<calcChain xmlns="http://schemas.openxmlformats.org/spreadsheetml/2006/main">
  <c r="F37" i="12"/>
  <c r="E37"/>
  <c r="E36"/>
  <c r="F36"/>
  <c r="E35"/>
  <c r="F35"/>
  <c r="D37"/>
  <c r="D35"/>
  <c r="D36"/>
  <c r="F153" i="8"/>
  <c r="M334" i="5"/>
  <c r="M512"/>
  <c r="M511"/>
  <c r="M488"/>
  <c r="M309"/>
  <c r="M37"/>
  <c r="M359"/>
  <c r="D100" i="12"/>
  <c r="G55" i="8"/>
  <c r="A70" i="12"/>
  <c r="E94"/>
  <c r="E128" s="1"/>
  <c r="F94"/>
  <c r="F128" s="1"/>
  <c r="D94"/>
  <c r="D128" s="1"/>
  <c r="L149" i="8"/>
  <c r="M149" s="1"/>
  <c r="J150" s="1"/>
  <c r="F149" s="1"/>
  <c r="C83"/>
  <c r="D83"/>
  <c r="E83"/>
  <c r="F83"/>
  <c r="B83"/>
  <c r="C143"/>
  <c r="D143"/>
  <c r="E143"/>
  <c r="F143"/>
  <c r="B143"/>
  <c r="G140"/>
  <c r="G141"/>
  <c r="G142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79"/>
  <c r="G80"/>
  <c r="G81"/>
  <c r="G82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J142" i="5"/>
  <c r="G162" i="8"/>
  <c r="G163" s="1"/>
  <c r="D48" i="12" s="1"/>
  <c r="G159" i="8"/>
  <c r="G158"/>
  <c r="C163"/>
  <c r="D163"/>
  <c r="E163"/>
  <c r="F163"/>
  <c r="F164" s="1"/>
  <c r="B163"/>
  <c r="B164" s="1"/>
  <c r="C160"/>
  <c r="D160"/>
  <c r="E160"/>
  <c r="F160"/>
  <c r="B160"/>
  <c r="C150"/>
  <c r="D150"/>
  <c r="E150"/>
  <c r="B150"/>
  <c r="G146"/>
  <c r="G145"/>
  <c r="C147"/>
  <c r="D147"/>
  <c r="E147"/>
  <c r="F147"/>
  <c r="B147"/>
  <c r="G78"/>
  <c r="C76"/>
  <c r="D76"/>
  <c r="E76"/>
  <c r="F76"/>
  <c r="B76"/>
  <c r="G66"/>
  <c r="G67"/>
  <c r="G68"/>
  <c r="G69"/>
  <c r="G70"/>
  <c r="G71"/>
  <c r="G72"/>
  <c r="G73"/>
  <c r="G74"/>
  <c r="G75"/>
  <c r="G65"/>
  <c r="F30"/>
  <c r="G30" s="1"/>
  <c r="D10" i="12" s="1"/>
  <c r="E10" s="1"/>
  <c r="F10" s="1"/>
  <c r="G45" i="8"/>
  <c r="G8"/>
  <c r="G9"/>
  <c r="G10"/>
  <c r="G11"/>
  <c r="G12"/>
  <c r="G13"/>
  <c r="G14"/>
  <c r="G15"/>
  <c r="G16"/>
  <c r="G17"/>
  <c r="G18"/>
  <c r="G19"/>
  <c r="G20"/>
  <c r="G23"/>
  <c r="G24"/>
  <c r="G25"/>
  <c r="G26"/>
  <c r="G29"/>
  <c r="G32"/>
  <c r="G33"/>
  <c r="G34"/>
  <c r="G35"/>
  <c r="G36"/>
  <c r="G37"/>
  <c r="G38"/>
  <c r="G39"/>
  <c r="G40"/>
  <c r="G41"/>
  <c r="G42"/>
  <c r="G46"/>
  <c r="G47"/>
  <c r="G48"/>
  <c r="G49"/>
  <c r="G50"/>
  <c r="G51"/>
  <c r="G52"/>
  <c r="G56"/>
  <c r="G57"/>
  <c r="G58"/>
  <c r="G59"/>
  <c r="G5"/>
  <c r="C60"/>
  <c r="D60"/>
  <c r="E60"/>
  <c r="F60"/>
  <c r="B60"/>
  <c r="C53"/>
  <c r="D53"/>
  <c r="E53"/>
  <c r="F53"/>
  <c r="B53"/>
  <c r="C43"/>
  <c r="D43"/>
  <c r="E43"/>
  <c r="F43"/>
  <c r="B43"/>
  <c r="C27"/>
  <c r="D27"/>
  <c r="E27"/>
  <c r="F27"/>
  <c r="B27"/>
  <c r="C21"/>
  <c r="D21"/>
  <c r="E21"/>
  <c r="F21"/>
  <c r="B21"/>
  <c r="B6"/>
  <c r="G6" s="1"/>
  <c r="D7" i="12" s="1"/>
  <c r="F80"/>
  <c r="F85" s="1"/>
  <c r="F90" s="1"/>
  <c r="G80"/>
  <c r="G85" s="1"/>
  <c r="G90" s="1"/>
  <c r="A126"/>
  <c r="D139"/>
  <c r="E139"/>
  <c r="F139"/>
  <c r="D146"/>
  <c r="E146"/>
  <c r="F146"/>
  <c r="D150"/>
  <c r="E150"/>
  <c r="E151" s="1"/>
  <c r="F150"/>
  <c r="D159"/>
  <c r="E159"/>
  <c r="F159"/>
  <c r="M590" i="5"/>
  <c r="M592" s="1"/>
  <c r="M579"/>
  <c r="M581" s="1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6"/>
  <c r="J367"/>
  <c r="J368"/>
  <c r="J369"/>
  <c r="J370"/>
  <c r="J371"/>
  <c r="J372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197"/>
  <c r="J198"/>
  <c r="J199"/>
  <c r="J200"/>
  <c r="J201"/>
  <c r="J202"/>
  <c r="J203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30"/>
  <c r="J131"/>
  <c r="J132"/>
  <c r="J133"/>
  <c r="J101"/>
  <c r="J102"/>
  <c r="J103"/>
  <c r="J104"/>
  <c r="J105"/>
  <c r="J106"/>
  <c r="J107"/>
  <c r="J108"/>
  <c r="J109"/>
  <c r="J110"/>
  <c r="J111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M535"/>
  <c r="M537" s="1"/>
  <c r="M498"/>
  <c r="M499" s="1"/>
  <c r="M559"/>
  <c r="M561" s="1"/>
  <c r="M464"/>
  <c r="M468" s="1"/>
  <c r="M439"/>
  <c r="M443" s="1"/>
  <c r="G160" i="8" l="1"/>
  <c r="G83"/>
  <c r="D17" i="12" s="1"/>
  <c r="E17" s="1"/>
  <c r="F17" s="1"/>
  <c r="G149" i="8"/>
  <c r="G150" s="1"/>
  <c r="D24" i="12" s="1"/>
  <c r="E24" s="1"/>
  <c r="F24" s="1"/>
  <c r="F150" i="8"/>
  <c r="F151" s="1"/>
  <c r="D30" i="12"/>
  <c r="E30" s="1"/>
  <c r="E48" s="1"/>
  <c r="G143" i="8"/>
  <c r="D19" i="12" s="1"/>
  <c r="E19" s="1"/>
  <c r="D151"/>
  <c r="F151"/>
  <c r="D43"/>
  <c r="E43" s="1"/>
  <c r="F43" s="1"/>
  <c r="C164" i="8"/>
  <c r="D164"/>
  <c r="E164"/>
  <c r="E151"/>
  <c r="B151"/>
  <c r="C151"/>
  <c r="D151"/>
  <c r="G147"/>
  <c r="D20" i="12" s="1"/>
  <c r="E20" s="1"/>
  <c r="F20" s="1"/>
  <c r="G43" i="8"/>
  <c r="D11" i="12" s="1"/>
  <c r="E11" s="1"/>
  <c r="F11" s="1"/>
  <c r="B61" i="8"/>
  <c r="G76"/>
  <c r="D18" i="12" s="1"/>
  <c r="E18" s="1"/>
  <c r="F18" s="1"/>
  <c r="G60" i="8"/>
  <c r="D13" i="12" s="1"/>
  <c r="E61" i="8"/>
  <c r="F61"/>
  <c r="G27"/>
  <c r="D9" i="12" s="1"/>
  <c r="E9" s="1"/>
  <c r="F9" s="1"/>
  <c r="G53" i="8"/>
  <c r="D12" i="12" s="1"/>
  <c r="E12" s="1"/>
  <c r="F12" s="1"/>
  <c r="D61" i="8"/>
  <c r="G21"/>
  <c r="D8" i="12" s="1"/>
  <c r="E8" s="1"/>
  <c r="F8" s="1"/>
  <c r="C61" i="8"/>
  <c r="E7" i="12"/>
  <c r="M416" i="5"/>
  <c r="M419" s="1"/>
  <c r="M410"/>
  <c r="M404"/>
  <c r="M385"/>
  <c r="M391" s="1"/>
  <c r="M433"/>
  <c r="M370"/>
  <c r="M374"/>
  <c r="M308"/>
  <c r="M235"/>
  <c r="M333"/>
  <c r="M555"/>
  <c r="M552" s="1"/>
  <c r="M554"/>
  <c r="M553"/>
  <c r="M291" s="1"/>
  <c r="M279" s="1"/>
  <c r="D29" i="12" l="1"/>
  <c r="E29" s="1"/>
  <c r="D49"/>
  <c r="D51" s="1"/>
  <c r="G164" i="8"/>
  <c r="F30" i="12"/>
  <c r="F48" s="1"/>
  <c r="E21"/>
  <c r="E42" s="1"/>
  <c r="D21"/>
  <c r="D42" s="1"/>
  <c r="E13"/>
  <c r="F13" s="1"/>
  <c r="D44"/>
  <c r="E44" s="1"/>
  <c r="F44" s="1"/>
  <c r="F19"/>
  <c r="F21" s="1"/>
  <c r="F42" s="1"/>
  <c r="D14"/>
  <c r="B153" i="8"/>
  <c r="B166" s="1"/>
  <c r="E153"/>
  <c r="E166" s="1"/>
  <c r="F166"/>
  <c r="G151"/>
  <c r="D153"/>
  <c r="D166" s="1"/>
  <c r="C153"/>
  <c r="C166" s="1"/>
  <c r="G61"/>
  <c r="F7" i="12"/>
  <c r="M551" i="5"/>
  <c r="M550" s="1"/>
  <c r="M108"/>
  <c r="M102"/>
  <c r="M20"/>
  <c r="F29" i="12" l="1"/>
  <c r="F49" s="1"/>
  <c r="F51" s="1"/>
  <c r="E49"/>
  <c r="E51" s="1"/>
  <c r="E31"/>
  <c r="D31"/>
  <c r="D45"/>
  <c r="D53" s="1"/>
  <c r="D55" s="1"/>
  <c r="E54" s="1"/>
  <c r="D41"/>
  <c r="E14"/>
  <c r="E41" s="1"/>
  <c r="E45" s="1"/>
  <c r="F14"/>
  <c r="F41" s="1"/>
  <c r="F45" s="1"/>
  <c r="D23"/>
  <c r="D26" s="1"/>
  <c r="G153" i="8"/>
  <c r="G166" s="1"/>
  <c r="J4" i="5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4"/>
  <c r="J135"/>
  <c r="J136"/>
  <c r="J137"/>
  <c r="J138"/>
  <c r="J139"/>
  <c r="J140"/>
  <c r="J141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M131"/>
  <c r="J3"/>
  <c r="E53" i="12" l="1"/>
  <c r="E55" s="1"/>
  <c r="F54" s="1"/>
  <c r="F53"/>
  <c r="F31"/>
  <c r="F23"/>
  <c r="F26" s="1"/>
  <c r="D131"/>
  <c r="E131" s="1"/>
  <c r="E134" s="1"/>
  <c r="E140" s="1"/>
  <c r="E153" s="1"/>
  <c r="E23"/>
  <c r="E26" s="1"/>
  <c r="E33" s="1"/>
  <c r="E81" s="1"/>
  <c r="D81" s="1"/>
  <c r="E96" s="1"/>
  <c r="E98" s="1"/>
  <c r="D33"/>
  <c r="E76" s="1"/>
  <c r="D76" s="1"/>
  <c r="D96" s="1"/>
  <c r="D98" s="1"/>
  <c r="D101" s="1"/>
  <c r="E100" s="1"/>
  <c r="M10" i="5"/>
  <c r="M24" s="1"/>
  <c r="F33" i="12" l="1"/>
  <c r="E86" s="1"/>
  <c r="D86" s="1"/>
  <c r="F96" s="1"/>
  <c r="F98" s="1"/>
  <c r="F55"/>
  <c r="D134"/>
  <c r="D140" s="1"/>
  <c r="D153" s="1"/>
  <c r="F131"/>
  <c r="F134" s="1"/>
  <c r="F140" s="1"/>
  <c r="F153" s="1"/>
  <c r="E101"/>
  <c r="F100" s="1"/>
  <c r="E80"/>
  <c r="E85" s="1"/>
  <c r="M42" i="5"/>
  <c r="M27"/>
  <c r="M11"/>
  <c r="F101" i="12" l="1"/>
  <c r="E90"/>
  <c r="M43" i="5"/>
  <c r="M59"/>
  <c r="M66" l="1"/>
  <c r="M60"/>
  <c r="M106"/>
  <c r="M111" l="1"/>
  <c r="M116" s="1"/>
  <c r="M107"/>
  <c r="M82"/>
  <c r="M85" s="1"/>
  <c r="M67"/>
  <c r="M141"/>
  <c r="M146" l="1"/>
  <c r="M150" s="1"/>
  <c r="M142"/>
  <c r="M162"/>
  <c r="M194" l="1"/>
  <c r="M167"/>
  <c r="M190" s="1"/>
  <c r="M222" l="1"/>
  <c r="M241" s="1"/>
  <c r="M200"/>
  <c r="M219" s="1"/>
  <c r="M263" l="1"/>
  <c r="M245"/>
  <c r="M259" s="1"/>
  <c r="M556" s="1"/>
  <c r="M234" l="1"/>
  <c r="M337"/>
  <c r="M339" s="1"/>
  <c r="M265"/>
  <c r="D80" i="12"/>
  <c r="D85" s="1"/>
  <c r="D90" s="1"/>
</calcChain>
</file>

<file path=xl/sharedStrings.xml><?xml version="1.0" encoding="utf-8"?>
<sst xmlns="http://schemas.openxmlformats.org/spreadsheetml/2006/main" count="3805" uniqueCount="591">
  <si>
    <t>13/05/2016</t>
  </si>
  <si>
    <t>Func</t>
  </si>
  <si>
    <t>Function Description</t>
  </si>
  <si>
    <t>SF</t>
  </si>
  <si>
    <t>Sub-Function Description</t>
  </si>
  <si>
    <t>COA</t>
  </si>
  <si>
    <t>Description</t>
  </si>
  <si>
    <t>Job</t>
  </si>
  <si>
    <t>IE Summary</t>
  </si>
  <si>
    <t>IE</t>
  </si>
  <si>
    <t>Inc/Exp Analysis</t>
  </si>
  <si>
    <t>11510</t>
  </si>
  <si>
    <t/>
  </si>
  <si>
    <t>11540</t>
  </si>
  <si>
    <t>14010</t>
  </si>
  <si>
    <t>14030</t>
  </si>
  <si>
    <t>22110</t>
  </si>
  <si>
    <t>22130</t>
  </si>
  <si>
    <t>22210</t>
  </si>
  <si>
    <t>22230</t>
  </si>
  <si>
    <t>22410</t>
  </si>
  <si>
    <t>22450</t>
  </si>
  <si>
    <t>22510</t>
  </si>
  <si>
    <t>22530</t>
  </si>
  <si>
    <t>22610</t>
  </si>
  <si>
    <t>22710</t>
  </si>
  <si>
    <t>22730</t>
  </si>
  <si>
    <t>22810</t>
  </si>
  <si>
    <t>22830</t>
  </si>
  <si>
    <t>22910</t>
  </si>
  <si>
    <t>22940</t>
  </si>
  <si>
    <t>27010</t>
  </si>
  <si>
    <t>27030</t>
  </si>
  <si>
    <t>27110</t>
  </si>
  <si>
    <t>27130</t>
  </si>
  <si>
    <t>27210</t>
  </si>
  <si>
    <t>27230</t>
  </si>
  <si>
    <t>27410</t>
  </si>
  <si>
    <t>27430</t>
  </si>
  <si>
    <t>27510</t>
  </si>
  <si>
    <t>27530</t>
  </si>
  <si>
    <t>27810</t>
  </si>
  <si>
    <t>27830</t>
  </si>
  <si>
    <t>40010</t>
  </si>
  <si>
    <t>40030</t>
  </si>
  <si>
    <t>40510</t>
  </si>
  <si>
    <t>40530</t>
  </si>
  <si>
    <t>40710</t>
  </si>
  <si>
    <t>40730</t>
  </si>
  <si>
    <t>40910</t>
  </si>
  <si>
    <t>40940</t>
  </si>
  <si>
    <t>42010</t>
  </si>
  <si>
    <t>42030</t>
  </si>
  <si>
    <t>51010</t>
  </si>
  <si>
    <t>51030</t>
  </si>
  <si>
    <t>51540</t>
  </si>
  <si>
    <t>52010</t>
  </si>
  <si>
    <t>52040</t>
  </si>
  <si>
    <t>52610</t>
  </si>
  <si>
    <t>52640</t>
  </si>
  <si>
    <t>53010</t>
  </si>
  <si>
    <t>53030</t>
  </si>
  <si>
    <t>65010</t>
  </si>
  <si>
    <t>65030</t>
  </si>
  <si>
    <t>65210</t>
  </si>
  <si>
    <t>65230</t>
  </si>
  <si>
    <t>6522A</t>
  </si>
  <si>
    <t>6523A</t>
  </si>
  <si>
    <t>6523B</t>
  </si>
  <si>
    <t>6527A</t>
  </si>
  <si>
    <t>66110</t>
  </si>
  <si>
    <t>66140</t>
  </si>
  <si>
    <t>67030</t>
  </si>
  <si>
    <t>70010</t>
  </si>
  <si>
    <t>70040</t>
  </si>
  <si>
    <t>71010</t>
  </si>
  <si>
    <t>71030</t>
  </si>
  <si>
    <t>71210</t>
  </si>
  <si>
    <t>71230</t>
  </si>
  <si>
    <t>71410</t>
  </si>
  <si>
    <t>71430</t>
  </si>
  <si>
    <t>74010</t>
  </si>
  <si>
    <t>74030</t>
  </si>
  <si>
    <t>75010</t>
  </si>
  <si>
    <t>75030</t>
  </si>
  <si>
    <t>75610</t>
  </si>
  <si>
    <t>75630</t>
  </si>
  <si>
    <t>75640</t>
  </si>
  <si>
    <t>75810</t>
  </si>
  <si>
    <t>75830</t>
  </si>
  <si>
    <t>76010</t>
  </si>
  <si>
    <t>76030</t>
  </si>
  <si>
    <t>76910</t>
  </si>
  <si>
    <t>76930</t>
  </si>
  <si>
    <t>77010</t>
  </si>
  <si>
    <t>77030</t>
  </si>
  <si>
    <t>77810</t>
  </si>
  <si>
    <t>77910</t>
  </si>
  <si>
    <t>77930</t>
  </si>
  <si>
    <t>78010</t>
  </si>
  <si>
    <t>78030</t>
  </si>
  <si>
    <t>79010</t>
  </si>
  <si>
    <t>79030</t>
  </si>
  <si>
    <t>79110</t>
  </si>
  <si>
    <t>79130</t>
  </si>
  <si>
    <t>Community Services</t>
  </si>
  <si>
    <t>Get Ready Disaster Management</t>
  </si>
  <si>
    <t>Get Ready Qld - Grant</t>
  </si>
  <si>
    <t>State Government Grants - Operating Grant</t>
  </si>
  <si>
    <t>Get Ready Qld - Expenditure</t>
  </si>
  <si>
    <t>Freight</t>
  </si>
  <si>
    <t>Plant &amp; Equipment (Under $5000)</t>
  </si>
  <si>
    <t>Materials &amp; Supplies</t>
  </si>
  <si>
    <t>Justice Group</t>
  </si>
  <si>
    <t>Justice Group - Grant</t>
  </si>
  <si>
    <t>Subsidies - Wages, Traineeships</t>
  </si>
  <si>
    <t>Grant Opening Balances</t>
  </si>
  <si>
    <t>Salaries &amp; Wages</t>
  </si>
  <si>
    <t>Superannuation</t>
  </si>
  <si>
    <t>Workcover</t>
  </si>
  <si>
    <t>Catering/Meeting Expenses</t>
  </si>
  <si>
    <t>Printing &amp; Stationery</t>
  </si>
  <si>
    <t>Office Supplies</t>
  </si>
  <si>
    <t>Telephone, Fax &amp; Internet Expenses</t>
  </si>
  <si>
    <t>Travel &amp; Accommodation</t>
  </si>
  <si>
    <t>Internal Grants - Administration</t>
  </si>
  <si>
    <t>Sale Of Cattle</t>
  </si>
  <si>
    <t>R&amp;M Buildings</t>
  </si>
  <si>
    <t>Sundry Expenses</t>
  </si>
  <si>
    <t>Donations</t>
  </si>
  <si>
    <t>Post Office</t>
  </si>
  <si>
    <t>Post Office - Income</t>
  </si>
  <si>
    <t>Postal Agency Commissions</t>
  </si>
  <si>
    <t>Powercard Commissions</t>
  </si>
  <si>
    <t>Powercard Sales</t>
  </si>
  <si>
    <t>Post Office Sales</t>
  </si>
  <si>
    <t>Training Travel Costs</t>
  </si>
  <si>
    <t>Staff Recruitment</t>
  </si>
  <si>
    <t>Workwear</t>
  </si>
  <si>
    <t>Post Office Stock</t>
  </si>
  <si>
    <t>Powercards Purchased</t>
  </si>
  <si>
    <t>Staff Amenties</t>
  </si>
  <si>
    <t>Safety Equipment &amp; Expenses</t>
  </si>
  <si>
    <t>Repairs &amp; Maintenance, General</t>
  </si>
  <si>
    <t>R&amp;M Plant &amp; Equipment</t>
  </si>
  <si>
    <t>Plant &amp; Equipment (Over $5000)</t>
  </si>
  <si>
    <t>Internal Post Office</t>
  </si>
  <si>
    <t>Internal Transfer - Guesthouse</t>
  </si>
  <si>
    <t>Internal Transfer - R&amp;M</t>
  </si>
  <si>
    <t>Centrelink</t>
  </si>
  <si>
    <t>Centrelink - Income</t>
  </si>
  <si>
    <t>Federal Government Grants - Operating Grant</t>
  </si>
  <si>
    <t>Community Bus</t>
  </si>
  <si>
    <t>Bus - Income</t>
  </si>
  <si>
    <t>Bus Hire</t>
  </si>
  <si>
    <t>Bus Expenses</t>
  </si>
  <si>
    <t>Tools &amp; Minor Equipment</t>
  </si>
  <si>
    <t>Motor Vehicle Expenses</t>
  </si>
  <si>
    <t>Motor Vehicle Registration</t>
  </si>
  <si>
    <t>Motor Vehicle R&amp;M</t>
  </si>
  <si>
    <t>Materials &amp; Supplies Overheads</t>
  </si>
  <si>
    <t>Internal Transfer - Fuel</t>
  </si>
  <si>
    <t>Internal Transfer - Workshop</t>
  </si>
  <si>
    <t>Hall</t>
  </si>
  <si>
    <t>Community Hall - Income</t>
  </si>
  <si>
    <t>Hall &amp; Site Hire</t>
  </si>
  <si>
    <t>Community Hall Expenses</t>
  </si>
  <si>
    <t>Cleaning Expenses</t>
  </si>
  <si>
    <t>Contractors</t>
  </si>
  <si>
    <t>Electricity General</t>
  </si>
  <si>
    <t>Tech Savvy Seniors Grant - Income</t>
  </si>
  <si>
    <t>Bracs</t>
  </si>
  <si>
    <t>BRACS - Income</t>
  </si>
  <si>
    <t>Contributions</t>
  </si>
  <si>
    <t>Subscriptions, Fees &amp; Licences</t>
  </si>
  <si>
    <t>Library</t>
  </si>
  <si>
    <t>Library - Income</t>
  </si>
  <si>
    <t>Ses</t>
  </si>
  <si>
    <t>SES - Income</t>
  </si>
  <si>
    <t>Ses Expenses</t>
  </si>
  <si>
    <t>Training Costs</t>
  </si>
  <si>
    <t>Motor Vehicle Fuel</t>
  </si>
  <si>
    <t>Capital Expenditure Over $5000</t>
  </si>
  <si>
    <t>Consultancy, General</t>
  </si>
  <si>
    <t>CHSP Home Support Programme (HACC) - Income</t>
  </si>
  <si>
    <t>Chsp Home Support Programme (Hacc) - Operating Expenditure</t>
  </si>
  <si>
    <t>Leave Airfares</t>
  </si>
  <si>
    <t>Groceries - Hacc</t>
  </si>
  <si>
    <t>Postage</t>
  </si>
  <si>
    <t>Computer Hardware &amp; Software</t>
  </si>
  <si>
    <t>Consultancy - Accounting/Admin</t>
  </si>
  <si>
    <t>Consultancy, Computer Support</t>
  </si>
  <si>
    <t>Plant Hire</t>
  </si>
  <si>
    <t>Hire Plant, Equipment &amp; Vehicl</t>
  </si>
  <si>
    <t>Insurance</t>
  </si>
  <si>
    <t>Internal Grants - Rent &amp; Service Charges</t>
  </si>
  <si>
    <t>Community Care Services (Rope)</t>
  </si>
  <si>
    <t>Community Care Services (ROPE) - Income</t>
  </si>
  <si>
    <t>Community Care Services (Rope) - Operating Expenditure</t>
  </si>
  <si>
    <t>Motor Vehicle Insurance</t>
  </si>
  <si>
    <t>Internal Transfer - Gas Bottle</t>
  </si>
  <si>
    <t>Cdc Program</t>
  </si>
  <si>
    <t>Consumer Directed Care Packages  - Income</t>
  </si>
  <si>
    <t>Consumer Directed Care Packages - Operating Expenditure</t>
  </si>
  <si>
    <t>Seminars &amp; Conferennces</t>
  </si>
  <si>
    <t>Consumer Directed Care Packages  - - Material &amp; Supplies</t>
  </si>
  <si>
    <t>Aged Care (Self-Gen)</t>
  </si>
  <si>
    <t>Aged Care - Income</t>
  </si>
  <si>
    <t>Aged Care - Meals On Wheels Service</t>
  </si>
  <si>
    <t>Aged Cared Income</t>
  </si>
  <si>
    <t>Aged Care - Operating Expenditure</t>
  </si>
  <si>
    <t>Hacc - Njcp</t>
  </si>
  <si>
    <t>HACC NJCP - Income</t>
  </si>
  <si>
    <t>Hacc Njcp - Operating Expenditure</t>
  </si>
  <si>
    <t>Atsi Ehw / Aco</t>
  </si>
  <si>
    <t>ATSI EHW / ACO - Income</t>
  </si>
  <si>
    <t>Ehw &amp; Aco</t>
  </si>
  <si>
    <t>Dog Program</t>
  </si>
  <si>
    <t>Organisation</t>
  </si>
  <si>
    <t>Sgfa - Admin</t>
  </si>
  <si>
    <t>SGFA - Income</t>
  </si>
  <si>
    <t>Admin Support</t>
  </si>
  <si>
    <t>Debt Collection Expenses</t>
  </si>
  <si>
    <t>Legal Fees</t>
  </si>
  <si>
    <t>Rent</t>
  </si>
  <si>
    <t>Advertising</t>
  </si>
  <si>
    <t>Audit Fees</t>
  </si>
  <si>
    <t>Asset Management</t>
  </si>
  <si>
    <t>Consultancy- Valuation</t>
  </si>
  <si>
    <t>Office Reface Costs</t>
  </si>
  <si>
    <t>Finance Costs</t>
  </si>
  <si>
    <t>Bank Charges</t>
  </si>
  <si>
    <t>Fag Admin</t>
  </si>
  <si>
    <t>FAG - Income</t>
  </si>
  <si>
    <t>Expenses Fag</t>
  </si>
  <si>
    <t>Councillor Remuneration</t>
  </si>
  <si>
    <t>Iedg</t>
  </si>
  <si>
    <t>IEDG - Income</t>
  </si>
  <si>
    <t>Admin - Self Generating</t>
  </si>
  <si>
    <t>Admin - Self Generating - Income</t>
  </si>
  <si>
    <t>Fees &amp; Charges</t>
  </si>
  <si>
    <t>Sundry Fees &amp; Charges</t>
  </si>
  <si>
    <t>Camping Fees Distributed</t>
  </si>
  <si>
    <t>Atm Commission</t>
  </si>
  <si>
    <t>Expenses Reimbursed</t>
  </si>
  <si>
    <t>Interest Received</t>
  </si>
  <si>
    <t>40 Year Lease Incentive</t>
  </si>
  <si>
    <t>Self Generating Income</t>
  </si>
  <si>
    <t>Resitituion Income</t>
  </si>
  <si>
    <t>Recycling Income</t>
  </si>
  <si>
    <t>Fish Stock Sales</t>
  </si>
  <si>
    <t>Purchasing Store</t>
  </si>
  <si>
    <t>Admin Store - Income</t>
  </si>
  <si>
    <t>Hire Of Plant &amp; Equipment</t>
  </si>
  <si>
    <t>Admin Store Sales</t>
  </si>
  <si>
    <t>Purchasing Stores</t>
  </si>
  <si>
    <t>Admin Store Stock</t>
  </si>
  <si>
    <t>Economy</t>
  </si>
  <si>
    <t>Guest House</t>
  </si>
  <si>
    <t>Guesthouse Income</t>
  </si>
  <si>
    <t>Accommodation Revenue</t>
  </si>
  <si>
    <t>Vending Machine Sales</t>
  </si>
  <si>
    <t>Guesthouse</t>
  </si>
  <si>
    <t>Housing Repairs &amp; Maintenance</t>
  </si>
  <si>
    <t>Contractors Camp</t>
  </si>
  <si>
    <t>Contractors Camp Expenses</t>
  </si>
  <si>
    <t>Fuel Depot</t>
  </si>
  <si>
    <t>Fuel Depot - Income</t>
  </si>
  <si>
    <t>Gas Bottle Revenue</t>
  </si>
  <si>
    <t>Fuel Sales</t>
  </si>
  <si>
    <t>Ctp Fuel Subsidy</t>
  </si>
  <si>
    <t>Fuel &amp; Gas</t>
  </si>
  <si>
    <t>Fuel Stock</t>
  </si>
  <si>
    <t>Gas Bottles</t>
  </si>
  <si>
    <t>Gas Cylinder Rental</t>
  </si>
  <si>
    <t>Plant &amp; Equipment Repairs</t>
  </si>
  <si>
    <t>Tourism</t>
  </si>
  <si>
    <t>Tourism - Income</t>
  </si>
  <si>
    <t>Camping Fees</t>
  </si>
  <si>
    <t>Internal Transfer - Plant Hire</t>
  </si>
  <si>
    <t>Commercial Buildings</t>
  </si>
  <si>
    <t>Property Leases - Income</t>
  </si>
  <si>
    <t>Rent - Commercial Property</t>
  </si>
  <si>
    <t>Rent - Staff Housing</t>
  </si>
  <si>
    <t>Property Leases</t>
  </si>
  <si>
    <t>Internal - Rangers</t>
  </si>
  <si>
    <t>Natural Environment</t>
  </si>
  <si>
    <t>Rangers, Fees For Services</t>
  </si>
  <si>
    <t>Ranger Services - Income</t>
  </si>
  <si>
    <t>Ranger Services</t>
  </si>
  <si>
    <t>Rangers Fee For Service</t>
  </si>
  <si>
    <t>Rangers Wild River Rangers</t>
  </si>
  <si>
    <t>QILSR - Income</t>
  </si>
  <si>
    <t>Wild River Ranges - Wages Only</t>
  </si>
  <si>
    <t>QIL&amp;SR Motor Vehicle</t>
  </si>
  <si>
    <t>Qilsr - Travel</t>
  </si>
  <si>
    <t>Domestic &amp; Feral Animal Management</t>
  </si>
  <si>
    <t>Personal Protective Equipment &amp; Uniforms</t>
  </si>
  <si>
    <t>Sport/Community/Recreational Expenses</t>
  </si>
  <si>
    <t>Boat Insurance</t>
  </si>
  <si>
    <t>Boat Repairs &amp; Maintenance</t>
  </si>
  <si>
    <t>Boat Registration</t>
  </si>
  <si>
    <t>Grants Administration 10%</t>
  </si>
  <si>
    <t>Nest to Ocean (Round 1) Income (Cape York NRM)</t>
  </si>
  <si>
    <t>Nest To Ocean (Cape York Nrm)</t>
  </si>
  <si>
    <t>Savannah Carbon Expenses</t>
  </si>
  <si>
    <t>Built Environment</t>
  </si>
  <si>
    <t>Staff Housing</t>
  </si>
  <si>
    <t>Housing  - R&amp;M</t>
  </si>
  <si>
    <t>Building Repairs Income</t>
  </si>
  <si>
    <t>Water Supply Expensews</t>
  </si>
  <si>
    <t>Building Materials Income</t>
  </si>
  <si>
    <t>Housing - Tenancy</t>
  </si>
  <si>
    <t>Housing Tenancy - Income</t>
  </si>
  <si>
    <t>Rent - Community Housing</t>
  </si>
  <si>
    <t>Housing Tenancy</t>
  </si>
  <si>
    <t>Revenue Replacement Program</t>
  </si>
  <si>
    <t>Revenue Replacement Program Expenditure</t>
  </si>
  <si>
    <t>Airport</t>
  </si>
  <si>
    <t>Airport / Airline Agency - Income</t>
  </si>
  <si>
    <t>Airline Agency Commissions</t>
  </si>
  <si>
    <t>Airline Ticket Sales</t>
  </si>
  <si>
    <t>Avdata</t>
  </si>
  <si>
    <t>Airline Agency</t>
  </si>
  <si>
    <t>Workshop</t>
  </si>
  <si>
    <t>Workshop - Income</t>
  </si>
  <si>
    <t>Workshop Revenue</t>
  </si>
  <si>
    <t>Workshop Parts</t>
  </si>
  <si>
    <t>Gas, Industrial Purchases</t>
  </si>
  <si>
    <t>Concrete Batching</t>
  </si>
  <si>
    <t>Conctrete Batching - Income</t>
  </si>
  <si>
    <t>Concrete Batching - Materials &amp; Supplies</t>
  </si>
  <si>
    <t>Plant Hire - Income</t>
  </si>
  <si>
    <t>Plant/Equipment</t>
  </si>
  <si>
    <t>Internal Transfer - Wages</t>
  </si>
  <si>
    <t>Roads to Recovery - Capital Income</t>
  </si>
  <si>
    <t>Federal Government Grants - Capital Grant</t>
  </si>
  <si>
    <t>Roads To Recovery</t>
  </si>
  <si>
    <t>Tids - Access Road Design Missing Link</t>
  </si>
  <si>
    <t>TIDS - Access Rd Design Missing Link Capital Income</t>
  </si>
  <si>
    <t>State Government Grants (Capital Grant)</t>
  </si>
  <si>
    <t>TIDS - Access Rd Design Missing Link - Capital Expenditure</t>
  </si>
  <si>
    <t>Parks &amp; Gardens</t>
  </si>
  <si>
    <t>Parks &amp; Gardens Income SGFA</t>
  </si>
  <si>
    <t>Mowing Income</t>
  </si>
  <si>
    <t>Parks And Gardens</t>
  </si>
  <si>
    <t>2015 REPA Emergent Works - Operating Income</t>
  </si>
  <si>
    <t>NDRRA 2015 Restoration Works - Capital Income</t>
  </si>
  <si>
    <t>NDRRA 2015 Restoration - Kowanyama Rd</t>
  </si>
  <si>
    <t>Ndrra 2015 Restoration Works</t>
  </si>
  <si>
    <t>Water Supply</t>
  </si>
  <si>
    <t>Water Supply Income - SGFA</t>
  </si>
  <si>
    <t>Service Charges</t>
  </si>
  <si>
    <t>Sewerage</t>
  </si>
  <si>
    <t>Sewerage - Income SGFA</t>
  </si>
  <si>
    <t>Waste Management</t>
  </si>
  <si>
    <t>Waste Management Income</t>
  </si>
  <si>
    <t>Row Labels</t>
  </si>
  <si>
    <t>Grand Total</t>
  </si>
  <si>
    <t>BUDGET 16-17</t>
  </si>
  <si>
    <t>Tech Savvy Seniors</t>
  </si>
  <si>
    <t>CHSP Home Support Programme (HACC)</t>
  </si>
  <si>
    <t>Nest to Ocean</t>
  </si>
  <si>
    <t>Savannah Carbon</t>
  </si>
  <si>
    <t>2015 REPA Emergent Works</t>
  </si>
  <si>
    <t xml:space="preserve">NDRRA 2015 Restoration </t>
  </si>
  <si>
    <t>Column Labels</t>
  </si>
  <si>
    <t>Notes</t>
  </si>
  <si>
    <t xml:space="preserve">Unknown if continued. </t>
  </si>
  <si>
    <t>Estimate</t>
  </si>
  <si>
    <t xml:space="preserve">Internal Transfers - Accounting Fees </t>
  </si>
  <si>
    <t>Sum of BUDGET 16-17</t>
  </si>
  <si>
    <t>Levies &amp; Charges</t>
  </si>
  <si>
    <t xml:space="preserve">IE </t>
  </si>
  <si>
    <t>IS Des</t>
  </si>
  <si>
    <t>Summary</t>
  </si>
  <si>
    <t>Rental Income</t>
  </si>
  <si>
    <t>Other Income</t>
  </si>
  <si>
    <t>Sales Revenue</t>
  </si>
  <si>
    <t>Grants, Subsidies, Contributions &amp; Donations</t>
  </si>
  <si>
    <t>Capital Grants, Subsidies, Contributions &amp; Donations</t>
  </si>
  <si>
    <t>Costs of Goods</t>
  </si>
  <si>
    <t>Materials &amp; Services</t>
  </si>
  <si>
    <t>Capital Expenses</t>
  </si>
  <si>
    <t>Property Expenses</t>
  </si>
  <si>
    <t>Internal Transfer</t>
  </si>
  <si>
    <t>Inc/Exp Summary (EDITED)</t>
  </si>
  <si>
    <t>Not confirmed grant</t>
  </si>
  <si>
    <t xml:space="preserve">Need the salary review. </t>
  </si>
  <si>
    <t>??</t>
  </si>
  <si>
    <t>Review Variance!!!! Not sure how to find cost of good sold</t>
  </si>
  <si>
    <t>Is the revenue charged to guesthouse? Why? Why Transfer?</t>
  </si>
  <si>
    <t>Filter on SF for Functions.</t>
  </si>
  <si>
    <t>$52K base salary + $700 Loading</t>
  </si>
  <si>
    <t>5.75% of Sales</t>
  </si>
  <si>
    <t>Heather $39,520 Base Salary + $532 Loading</t>
  </si>
  <si>
    <t>John Holroyd - $6,371 Base Salary + $270 Allowances + $86 Loading</t>
  </si>
  <si>
    <t>Rebecca Hafner - $44,300 Base Salary + $270 Allowances + $596 Loading</t>
  </si>
  <si>
    <t>Client Specific Travel</t>
  </si>
  <si>
    <t>***Needs to be Looked at with New Client Packages***</t>
  </si>
  <si>
    <t>Aged Cared Income - Catering</t>
  </si>
  <si>
    <t>Quarantine Surplus Funds - May Need to be Repaid</t>
  </si>
  <si>
    <t>Seminars &amp; Conferences</t>
  </si>
  <si>
    <t>Asset Management Plans</t>
  </si>
  <si>
    <t>AssetVal Indexation</t>
  </si>
  <si>
    <t>Prediominately Cairns Office Budget</t>
  </si>
  <si>
    <t>Roads to Recovery</t>
  </si>
  <si>
    <t>FAG GPG &amp; IRG Combined</t>
  </si>
  <si>
    <t>Mayor - $99,638 / Deputy Mayor - $57,483 / 3 x Councillors - $49,819 each</t>
  </si>
  <si>
    <t>$5K inclusive for FM as CEO request</t>
  </si>
  <si>
    <t>Aerial Culls</t>
  </si>
  <si>
    <t>Vehicle Maintenance</t>
  </si>
  <si>
    <t>Predator Control &amp; Turtle Monitoring Equipment/Consumables</t>
  </si>
  <si>
    <t>New Grant - Add to GL</t>
  </si>
  <si>
    <t>Ergon Street Lighting Upgrade</t>
  </si>
  <si>
    <t>National Affordable Housing Agreement (NAHA) $786K Upgrades / $746,964 Base Maintenance &amp; $1,438,416 Minor Works &amp; Repairs</t>
  </si>
  <si>
    <t>New Grant - Add to GL / Strathgordon Road &amp; Station Creek Upgrades</t>
  </si>
  <si>
    <t>Balance of 2015 Restoration Funding</t>
  </si>
  <si>
    <t>Wages above equate to $403,270 ($13K Surplus).  However $8K Overbudget on Dept Set Budget</t>
  </si>
  <si>
    <t>Yamaha YXE700G</t>
  </si>
  <si>
    <t>Motor Vehicle Repairs &amp; Maint</t>
  </si>
  <si>
    <t>Electric R/Door &amp; Servicing</t>
  </si>
  <si>
    <t>Forklift Training</t>
  </si>
  <si>
    <t>?? Manchkunchan St Paving - Check with CEO on Figures !!</t>
  </si>
  <si>
    <t>Mower/Brushcutter $800 + Other Tools</t>
  </si>
  <si>
    <t>Marjorie $57K base salary + $767 Loading / David Cornish $16.5K</t>
  </si>
  <si>
    <t>Jessica Foote $37.5K + $505 Loading + $270 Allowances / Jacky Kendall $33,200 + $559 Loading + $270 Allowances</t>
  </si>
  <si>
    <t>Glen Simpson - $50,685 + $853 Loading / Jarod Holroyd - $39,432 + $270 Allowances + $664 Loading / Robbie Morris $15K</t>
  </si>
  <si>
    <t xml:space="preserve">Run Special Programs? </t>
  </si>
  <si>
    <t>??? Awaiting Confirmation of Further Funding</t>
  </si>
  <si>
    <t>Sandi Churchill - 4 x Trips at 12 days each x 8 hours x $50 per hour + $75 Travel Allow per day / $14,600 Apportion of Michelle's Salary</t>
  </si>
  <si>
    <t>Michelle Vick - $75K less $40,000 + $1265 Loading &amp; Nicola Holland - $63K + $1,060 Loading</t>
  </si>
  <si>
    <t>Trevor Adcock - $90,751 Base Salary + $1,527 Loading / Michelle - Apportion of Salary $25,400</t>
  </si>
  <si>
    <t>Robbie - $102,445 (less $15K) + $1,724 Loading / Eddie - $58K + $976 Loading / Gavin $58K + $976 Loading / Peret - $48,709 + $820 Loading + $270 Allowances / Brett - $34,936 + $588 Loading + $270 Allowances / Wesley - $48,709 + $820 Loading / Clinton - $45K + $757 Loading + $270 Allowances</t>
  </si>
  <si>
    <t>Submitted Projects for 2016-17???</t>
  </si>
  <si>
    <t>Joanne - $48,068 + $809 Loading / Tracey - $105,941 + $1,783 Loading / Katie - $69,745 + $1,174 Loading / Bill - $45,240 + $609 Loading</t>
  </si>
  <si>
    <t>SFO (Mel) &amp; Altius</t>
  </si>
  <si>
    <t>External &amp; Internal</t>
  </si>
  <si>
    <t>$598 Return Flights (Tracey, Katie, Mel &amp; Bill)</t>
  </si>
  <si>
    <t>Aircon Servicing</t>
  </si>
  <si>
    <t>Edward - $126K + $2120 Loading / Grace PA - $55,140 + $928 Loading / WHS - $65K + $1094 Loading / Governance - $85K + $1430 Loading</t>
  </si>
  <si>
    <t>(5 CEO &amp; 2 Governance)</t>
  </si>
  <si>
    <t>$15K Councillors &amp; CEO Propeller Program + $10K Other</t>
  </si>
  <si>
    <t>Xmas &amp; Special Functions</t>
  </si>
  <si>
    <t>TJ Micro &amp; Synergy</t>
  </si>
  <si>
    <t>(Including IR Signs, etc)</t>
  </si>
  <si>
    <t>Records Management Module Synergy</t>
  </si>
  <si>
    <t>Server Relocation/TJ Micro Cloud</t>
  </si>
  <si>
    <t>?? Are any 40 Year Leases Expected for 16-17 $6K per property</t>
  </si>
  <si>
    <t>Look at Where Stock Overhead Income Flows to</t>
  </si>
  <si>
    <t>What is going here ???</t>
  </si>
  <si>
    <t>Herbert - $34K + $270 Allowances + $458 Loading / Hassan - $85K + Check Locality?? + $1430 Loading + David - $34K + $270 Allowances + $458 Loading</t>
  </si>
  <si>
    <t>Grace - $63.5K + $1069 Loading / Ina - $32,283 + $270 Allowances + $435 Loading / Rosemary - $32,283 + $270 Allowances + $435 Loading / Delina - $34K + $270 Allowances + $458 Loading</t>
  </si>
  <si>
    <t>New Beds &amp; Furnishings for L&amp;S Guesthouse</t>
  </si>
  <si>
    <t>Supplies for Maintenance of Dongas</t>
  </si>
  <si>
    <t>Labour for Maintenance of Dongas</t>
  </si>
  <si>
    <t>***Consider Combining Contractors Camp &amp; Guesthouse GL's***  **Separate at Joab Level**</t>
  </si>
  <si>
    <t>**Confirm Amount to be Distributed to TO's**</t>
  </si>
  <si>
    <t>$22K Biosecurity + $3K Other</t>
  </si>
  <si>
    <t>***Distribution of Funds to TO's***</t>
  </si>
  <si>
    <t>Mark - $38.5K + $270 Allowances + $518 Loading / (Ops Manager) $90K + $1515 Loading / Eddie (Apprentice) $37.5K + $270 Allowances + $505 Loading / Andrew $79K + $1329 Loading / R&amp;M Supervisor $79K + $1329 Loading</t>
  </si>
  <si>
    <t>(Carpenter &amp; Plumber Contractor Allowances of 8 weeks each per annum)</t>
  </si>
  <si>
    <t>(3 Return Airfares for Ops Manager &amp; Partner)</t>
  </si>
  <si>
    <t>Social Housing Rent - DHPW</t>
  </si>
  <si>
    <t>Bob - $60K + $1010 Loading / Kira $47.5K + $640 Loading</t>
  </si>
  <si>
    <t>($100K Insurance Charged to Housing)</t>
  </si>
  <si>
    <t>(Confirm Apportionment with Asset Register)</t>
  </si>
  <si>
    <t>James - $31.5K + $270 Allowances + $425 Loading / Anthony - $71K + $8K Locality?? + $1195 Loading</t>
  </si>
  <si>
    <t>Vending Machine Stock</t>
  </si>
  <si>
    <t>New Generator incl Freight &amp; Labour</t>
  </si>
  <si>
    <t>Monthly CASA Safety Elec Check</t>
  </si>
  <si>
    <t>Check figures fo 15/16 results below expectations</t>
  </si>
  <si>
    <t>**Guesthouse Upgrade Works ???**</t>
  </si>
  <si>
    <t>75% of QIL&amp;SR Program Admin Fee</t>
  </si>
  <si>
    <t>Llewellyn - $37,400 + $270 Allowances + $503 Loading / Emily - $46K + $774 Loading / Cameron - $79,175 + Loading $1332 Loading</t>
  </si>
  <si>
    <t>Landis (Apprentice) - $37,400 + $270 Allowances + $503 Loading</t>
  </si>
  <si>
    <t>???</t>
  </si>
  <si>
    <t>(Impact of QRA ruling for Internal Plant Hire)</t>
  </si>
  <si>
    <t>Check Value of Approved Emergent Works for 2015??</t>
  </si>
  <si>
    <t>Thomas - $31,130 + $270 Allowances + $420 Loading / Timothy (50hrs) - $30,238 + $270 Allowances + Harold (50hrs) - $30K + $270 Allowances / Norris - $31K + $270 Allowances + $417 Loading / Johnny (60hrs) - $30.5K + $270 Allowances + $411 Loading</t>
  </si>
  <si>
    <t>Need to look at labour - Cut back on 1 or 2 Positions??</t>
  </si>
  <si>
    <t>Carbon Trade Sales</t>
  </si>
  <si>
    <t>Kim - $45,900 + $618 Loading / Gabriel - $45,900 + $618 Loading</t>
  </si>
  <si>
    <t>Anthony - $25,326 + $2220 Allowances + $341 Loading / Maurice - $25,326 + $2220 Allowances + $341 Loading / Tristan - $25,326 + $2220 + $341 Loading</t>
  </si>
  <si>
    <t>Retained Surplus (Deficiency)</t>
  </si>
  <si>
    <t>Other Reserves</t>
  </si>
  <si>
    <t>Asset Revaluation Reserve</t>
  </si>
  <si>
    <t>Equity</t>
  </si>
  <si>
    <t>Net Community Assets</t>
  </si>
  <si>
    <t>TOTAL LIABILITIES</t>
  </si>
  <si>
    <t>Total Non Current Liabilities</t>
  </si>
  <si>
    <t>Employee Provisions</t>
  </si>
  <si>
    <t>Non Current Liabilities</t>
  </si>
  <si>
    <t>Other provisions</t>
  </si>
  <si>
    <t>Trade Payables</t>
  </si>
  <si>
    <t>Overdraft</t>
  </si>
  <si>
    <t>Current Liabilities</t>
  </si>
  <si>
    <t>TOTAL ASSETS</t>
  </si>
  <si>
    <t>Total Non Current Assets</t>
  </si>
  <si>
    <t>Capital Work in progress</t>
  </si>
  <si>
    <t>Property Plant &amp; Equipment</t>
  </si>
  <si>
    <t>Non Current Assets</t>
  </si>
  <si>
    <t>Total Current assets</t>
  </si>
  <si>
    <t>Receivables</t>
  </si>
  <si>
    <t>Stock on Hand</t>
  </si>
  <si>
    <t>Cash at Bank</t>
  </si>
  <si>
    <t>Current Assets</t>
  </si>
  <si>
    <t>BALANCE SHEET</t>
  </si>
  <si>
    <t>PORMPURAAW ABORIGINAL SHIRE COUNCIL</t>
  </si>
  <si>
    <t>Surplus/(Deficiency) for the Period</t>
  </si>
  <si>
    <t>Capital Cash Subsidies, Donations</t>
  </si>
  <si>
    <t xml:space="preserve">Net Profit for the Period from Income </t>
  </si>
  <si>
    <t>Statement of Appropriation</t>
  </si>
  <si>
    <t>Asset Revaluation adjustment</t>
  </si>
  <si>
    <t>Transfer from Reserve</t>
  </si>
  <si>
    <t>Transfer to Reserve</t>
  </si>
  <si>
    <t>Net Result for this period</t>
  </si>
  <si>
    <t>Retained Surplus</t>
  </si>
  <si>
    <t>Total</t>
  </si>
  <si>
    <t>Statement of Changes in Equity</t>
  </si>
  <si>
    <t>Other</t>
  </si>
  <si>
    <t>Payments for Property Plant &amp; Equipment</t>
  </si>
  <si>
    <t>Cashflows from Investing Activities</t>
  </si>
  <si>
    <t>Payments to Suppliers &amp; Employees</t>
  </si>
  <si>
    <t>Receipts from Customers</t>
  </si>
  <si>
    <t xml:space="preserve"> </t>
  </si>
  <si>
    <t>Cashflows from Operating Activities</t>
  </si>
  <si>
    <t>Total Expenses</t>
  </si>
  <si>
    <t>Total Finance Costs</t>
  </si>
  <si>
    <t>Total Income</t>
  </si>
  <si>
    <t>2017/18</t>
  </si>
  <si>
    <t>2016/17</t>
  </si>
  <si>
    <t>Total Levies &amp; Charges</t>
  </si>
  <si>
    <t>Total Fees &amp; Charges</t>
  </si>
  <si>
    <t>Total Rental Income</t>
  </si>
  <si>
    <t>Total Interest Received</t>
  </si>
  <si>
    <t>Total Sales Revenue</t>
  </si>
  <si>
    <t>Total Other Income</t>
  </si>
  <si>
    <t>Total Operating Grants, etc</t>
  </si>
  <si>
    <t>Total Operating Revenue</t>
  </si>
  <si>
    <t xml:space="preserve">Operating Revenue </t>
  </si>
  <si>
    <t>Operating Expenses</t>
  </si>
  <si>
    <t xml:space="preserve">Total Salaries &amp; Wages </t>
  </si>
  <si>
    <t xml:space="preserve">Total Materials &amp; Services </t>
  </si>
  <si>
    <t>Depreciation</t>
  </si>
  <si>
    <t>Total Depreciation</t>
  </si>
  <si>
    <t>Total Operating Expenses</t>
  </si>
  <si>
    <t>Net Operating Result</t>
  </si>
  <si>
    <t>Capital Revenue</t>
  </si>
  <si>
    <t>Capital</t>
  </si>
  <si>
    <t xml:space="preserve">Capital </t>
  </si>
  <si>
    <t>Total Capital Revenue</t>
  </si>
  <si>
    <t>Total Capital Expenses</t>
  </si>
  <si>
    <t>Net Capital Result</t>
  </si>
  <si>
    <t>Net Result</t>
  </si>
  <si>
    <t>Grants Repaid</t>
  </si>
  <si>
    <t>Total Cost of Goods</t>
  </si>
  <si>
    <t>Operating Surplus / (Deficiency)</t>
  </si>
  <si>
    <t>Operating Income</t>
  </si>
  <si>
    <t>Capital Surplus / (Deficiency)</t>
  </si>
  <si>
    <t>2018/19</t>
  </si>
  <si>
    <t>BUDGET FOR THE YEAR 1ST JULY 2016 TO 30 JUNE, 2017</t>
  </si>
  <si>
    <t>Net cash inflow / (Outflow) from investing activities</t>
  </si>
  <si>
    <t>Net cash inflow / (outflow) from operating activities</t>
  </si>
  <si>
    <t>Net increase (decrease) in cash held</t>
  </si>
  <si>
    <t>Var</t>
  </si>
  <si>
    <t>%</t>
  </si>
  <si>
    <t>Accumulated Surplus / (Deficiency) from Prior Years</t>
  </si>
  <si>
    <t>Total Current Liabilities</t>
  </si>
  <si>
    <t>Net Operating Result Excluding Depreciation</t>
  </si>
  <si>
    <t>Rental income</t>
  </si>
  <si>
    <t>Cost of Sales</t>
  </si>
  <si>
    <t>Employment Costs</t>
  </si>
  <si>
    <t>Cash &amp; equivalents at beginning of financial year</t>
  </si>
  <si>
    <t>Cash &amp; equivalents at end of financial year</t>
  </si>
  <si>
    <t>Balance at 30/06/2016</t>
  </si>
  <si>
    <t>Balance at 30/06/2017</t>
  </si>
  <si>
    <t>Balance at 30/06/2018</t>
  </si>
  <si>
    <t>Balance at 30/06/2019</t>
  </si>
  <si>
    <t>Used 2015 figures</t>
  </si>
  <si>
    <t>Hide?? Correct??</t>
  </si>
  <si>
    <t>CYRP/CIMA</t>
  </si>
  <si>
    <t>Vehicle For Cairns Office</t>
  </si>
  <si>
    <t>Donations @ $500 per month as per CEO email 10/6/16</t>
  </si>
  <si>
    <t>Individual Budgets</t>
  </si>
  <si>
    <t>Vehicle Contribution for Mayor</t>
  </si>
  <si>
    <t>$30K Solar for Council Office / $70K Dingo / $28K for Mayor Vehicle</t>
  </si>
  <si>
    <t>PASC BUDGET 2016-17</t>
  </si>
  <si>
    <t>Asset Sustainability Ratio</t>
  </si>
  <si>
    <t>Operating Surplus Ratio</t>
  </si>
  <si>
    <t>Net Financial Liabilities Ratio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</si>
</sst>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.00_ ;\-#,##0.00\ "/>
    <numFmt numFmtId="165" formatCode="0.0%"/>
    <numFmt numFmtId="166" formatCode="&quot;$&quot;#,##0.00"/>
    <numFmt numFmtId="167" formatCode="&quot;$&quot;#,##0"/>
    <numFmt numFmtId="168" formatCode="#,##0_ ;\-#,##0\ "/>
  </numFmts>
  <fonts count="12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NumberFormat="1" applyFont="1"/>
    <xf numFmtId="0" fontId="5" fillId="0" borderId="0" xfId="0" applyFont="1"/>
    <xf numFmtId="164" fontId="0" fillId="0" borderId="0" xfId="0" applyNumberFormat="1"/>
    <xf numFmtId="0" fontId="6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/>
    <xf numFmtId="165" fontId="2" fillId="0" borderId="0" xfId="0" applyNumberFormat="1" applyFont="1"/>
    <xf numFmtId="166" fontId="3" fillId="0" borderId="0" xfId="0" applyNumberFormat="1" applyFont="1"/>
    <xf numFmtId="167" fontId="2" fillId="0" borderId="0" xfId="1" applyNumberFormat="1" applyFont="1"/>
    <xf numFmtId="167" fontId="2" fillId="0" borderId="0" xfId="0" applyNumberFormat="1" applyFont="1"/>
    <xf numFmtId="167" fontId="7" fillId="0" borderId="0" xfId="1" applyNumberFormat="1" applyFont="1"/>
    <xf numFmtId="167" fontId="3" fillId="0" borderId="0" xfId="1" applyNumberFormat="1" applyFont="1"/>
    <xf numFmtId="167" fontId="7" fillId="0" borderId="0" xfId="0" applyNumberFormat="1" applyFont="1"/>
    <xf numFmtId="167" fontId="6" fillId="0" borderId="0" xfId="0" applyNumberFormat="1" applyFont="1"/>
    <xf numFmtId="167" fontId="3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2"/>
    <xf numFmtId="3" fontId="8" fillId="0" borderId="0" xfId="2" applyNumberFormat="1"/>
    <xf numFmtId="3" fontId="8" fillId="0" borderId="1" xfId="2" applyNumberFormat="1" applyBorder="1"/>
    <xf numFmtId="3" fontId="6" fillId="0" borderId="1" xfId="2" applyNumberFormat="1" applyFont="1" applyBorder="1"/>
    <xf numFmtId="3" fontId="6" fillId="0" borderId="0" xfId="2" applyNumberFormat="1" applyFont="1"/>
    <xf numFmtId="0" fontId="9" fillId="0" borderId="0" xfId="2" applyFont="1"/>
    <xf numFmtId="3" fontId="9" fillId="0" borderId="0" xfId="2" applyNumberFormat="1" applyFont="1"/>
    <xf numFmtId="0" fontId="6" fillId="0" borderId="0" xfId="2" applyFont="1"/>
    <xf numFmtId="3" fontId="8" fillId="0" borderId="2" xfId="2" applyNumberFormat="1" applyBorder="1"/>
    <xf numFmtId="3" fontId="6" fillId="0" borderId="2" xfId="2" applyNumberFormat="1" applyFont="1" applyBorder="1"/>
    <xf numFmtId="3" fontId="8" fillId="0" borderId="3" xfId="2" applyNumberFormat="1" applyBorder="1"/>
    <xf numFmtId="3" fontId="6" fillId="0" borderId="3" xfId="2" applyNumberFormat="1" applyFont="1" applyBorder="1"/>
    <xf numFmtId="3" fontId="6" fillId="0" borderId="0" xfId="2" applyNumberFormat="1" applyFont="1" applyAlignment="1">
      <alignment horizontal="right"/>
    </xf>
    <xf numFmtId="0" fontId="8" fillId="0" borderId="3" xfId="2" applyBorder="1"/>
    <xf numFmtId="3" fontId="9" fillId="0" borderId="0" xfId="2" applyNumberFormat="1" applyFont="1" applyAlignment="1">
      <alignment wrapText="1"/>
    </xf>
    <xf numFmtId="3" fontId="9" fillId="0" borderId="1" xfId="2" applyNumberFormat="1" applyFont="1" applyBorder="1"/>
    <xf numFmtId="3" fontId="9" fillId="0" borderId="2" xfId="2" applyNumberFormat="1" applyFont="1" applyBorder="1"/>
    <xf numFmtId="3" fontId="8" fillId="0" borderId="0" xfId="2" applyNumberFormat="1" applyBorder="1"/>
    <xf numFmtId="3" fontId="6" fillId="0" borderId="0" xfId="2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8" fontId="0" fillId="0" borderId="0" xfId="1" applyNumberFormat="1" applyFont="1"/>
    <xf numFmtId="168" fontId="4" fillId="0" borderId="0" xfId="1" applyNumberFormat="1" applyFont="1"/>
    <xf numFmtId="168" fontId="2" fillId="0" borderId="0" xfId="1" applyNumberFormat="1" applyFont="1"/>
    <xf numFmtId="168" fontId="4" fillId="0" borderId="2" xfId="1" applyNumberFormat="1" applyFont="1" applyBorder="1"/>
    <xf numFmtId="168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right" indent="1"/>
    </xf>
    <xf numFmtId="168" fontId="4" fillId="0" borderId="1" xfId="1" applyNumberFormat="1" applyFont="1" applyBorder="1"/>
    <xf numFmtId="0" fontId="9" fillId="0" borderId="0" xfId="0" applyNumberFormat="1" applyFont="1"/>
    <xf numFmtId="0" fontId="9" fillId="0" borderId="0" xfId="0" applyFont="1"/>
    <xf numFmtId="168" fontId="0" fillId="0" borderId="0" xfId="0" applyNumberFormat="1"/>
    <xf numFmtId="168" fontId="4" fillId="0" borderId="0" xfId="0" applyNumberFormat="1" applyFont="1"/>
    <xf numFmtId="3" fontId="9" fillId="0" borderId="3" xfId="2" applyNumberFormat="1" applyFont="1" applyBorder="1"/>
    <xf numFmtId="0" fontId="6" fillId="0" borderId="0" xfId="2" applyFont="1" applyAlignment="1">
      <alignment horizontal="right" vertical="center"/>
    </xf>
    <xf numFmtId="0" fontId="10" fillId="0" borderId="0" xfId="2" applyFont="1"/>
    <xf numFmtId="168" fontId="0" fillId="0" borderId="0" xfId="1" applyNumberFormat="1" applyFont="1" applyFill="1"/>
    <xf numFmtId="3" fontId="9" fillId="0" borderId="0" xfId="2" applyNumberFormat="1" applyFont="1" applyBorder="1"/>
    <xf numFmtId="0" fontId="9" fillId="2" borderId="0" xfId="2" applyFont="1" applyFill="1"/>
    <xf numFmtId="0" fontId="8" fillId="2" borderId="0" xfId="2" applyFill="1"/>
    <xf numFmtId="3" fontId="8" fillId="0" borderId="0" xfId="1" applyNumberFormat="1" applyFont="1" applyAlignment="1"/>
    <xf numFmtId="3" fontId="8" fillId="0" borderId="0" xfId="1" applyNumberFormat="1" applyFont="1"/>
    <xf numFmtId="0" fontId="11" fillId="0" borderId="0" xfId="0" applyFont="1" applyAlignment="1">
      <alignment horizontal="center" vertical="center"/>
    </xf>
    <xf numFmtId="0" fontId="6" fillId="0" borderId="0" xfId="2" applyFont="1" applyAlignment="1">
      <alignment horizontal="center"/>
    </xf>
    <xf numFmtId="9" fontId="6" fillId="0" borderId="0" xfId="2" applyNumberFormat="1" applyFont="1"/>
  </cellXfs>
  <cellStyles count="3">
    <cellStyle name="Comma" xfId="1" builtinId="3"/>
    <cellStyle name="Normal" xfId="0" builtinId="0"/>
    <cellStyle name="Normal 2" xfId="2"/>
  </cellStyles>
  <dxfs count="1">
    <dxf>
      <numFmt numFmtId="164" formatCode="#,##0.00_ ;\-#,##0.00\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inance" refreshedDate="42542.906377314815" createdVersion="5" refreshedVersion="3" minRefreshableVersion="3" recordCount="596">
  <cacheSource type="worksheet">
    <worksheetSource ref="A2:M598" sheet="BUDGET"/>
  </cacheSource>
  <cacheFields count="13">
    <cacheField name="Func" numFmtId="0">
      <sharedItems containsSemiMixedTypes="0" containsString="0" containsNumber="1" containsInteger="1" minValue="10" maxValue="50"/>
    </cacheField>
    <cacheField name="Function Description" numFmtId="0">
      <sharedItems containsBlank="1" count="6">
        <s v="Community Services"/>
        <s v="Economy"/>
        <s v="Natural Environment"/>
        <s v="Organisation"/>
        <s v="Built Environment"/>
        <m u="1"/>
      </sharedItems>
    </cacheField>
    <cacheField name="SF" numFmtId="0">
      <sharedItems containsSemiMixedTypes="0" containsString="0" containsNumber="1" containsInteger="1" minValue="115" maxValue="791"/>
    </cacheField>
    <cacheField name="Sub-Function Description" numFmtId="0">
      <sharedItems/>
    </cacheField>
    <cacheField name="COA" numFmtId="0">
      <sharedItems containsBlank="1" containsMixedTypes="1" containsNumber="1" containsInteger="1" minValue="22630" maxValue="78030"/>
    </cacheField>
    <cacheField name="Description" numFmtId="0">
      <sharedItems containsBlank="1"/>
    </cacheField>
    <cacheField name="Job" numFmtId="0">
      <sharedItems containsBlank="1" containsMixedTypes="1" containsNumber="1" containsInteger="1" minValue="115" maxValue="791"/>
    </cacheField>
    <cacheField name="Description2" numFmtId="0">
      <sharedItems containsBlank="1"/>
    </cacheField>
    <cacheField name="IE Summary" numFmtId="0">
      <sharedItems containsString="0" containsBlank="1" containsNumber="1" containsInteger="1" minValue="100" maxValue="900"/>
    </cacheField>
    <cacheField name="Inc/Exp Summary (EDITED)" numFmtId="0">
      <sharedItems containsBlank="1" count="21">
        <s v="Grants, Subsidies, Contributions &amp; Donations"/>
        <s v="Materials &amp; Services"/>
        <s v="Salaries &amp; Wages"/>
        <s v="Internal Transfer"/>
        <s v="Fees &amp; Charges"/>
        <s v="Sales Revenue"/>
        <s v="Costs of Goods"/>
        <s v="Property Expenses"/>
        <s v="Motor Vehicle Expenses"/>
        <s v="Finance Costs"/>
        <s v="Capital Expenses"/>
        <s v="Other Income"/>
        <s v="Interest Received"/>
        <s v="Rental Income"/>
        <s v="Capital Grants, Subsidies, Contributions &amp; Donations"/>
        <s v="Levies &amp; Charges"/>
        <m u="1"/>
        <s v="Grants Repaid" u="1"/>
        <e v="#REF!" u="1"/>
        <e v="#N/A" u="1"/>
        <s v="Other Employee Re" u="1"/>
      </sharedItems>
    </cacheField>
    <cacheField name="IE" numFmtId="0">
      <sharedItems containsSemiMixedTypes="0" containsString="0" containsNumber="1" containsInteger="1" minValue="101" maxValue="914"/>
    </cacheField>
    <cacheField name="Inc/Exp Analysis" numFmtId="0">
      <sharedItems count="135">
        <s v="State Government Grants - Operating Grant"/>
        <s v="Freight"/>
        <s v="Plant &amp; Equipment (Under $5000)"/>
        <s v="Materials &amp; Supplies"/>
        <s v="Grant Opening Balances"/>
        <s v="Salaries &amp; Wages"/>
        <s v="Superannuation"/>
        <s v="Workcover"/>
        <s v="Catering/Meeting Expenses"/>
        <s v="Printing &amp; Stationery"/>
        <s v="Telephone, Fax &amp; Internet Expenses"/>
        <s v="Travel &amp; Accommodation"/>
        <s v="Internal Grants - Administration"/>
        <s v="Postal Agency Commissions"/>
        <s v="Powercard Commissions"/>
        <s v="Powercard Sales"/>
        <s v="Post Office Sales"/>
        <s v="Training Travel Costs"/>
        <s v="Workwear"/>
        <s v="Post Office Stock"/>
        <s v="Powercards Purchased"/>
        <s v="Staff Amenties"/>
        <s v="Safety Equipment &amp; Expenses"/>
        <s v="R&amp;M Buildings"/>
        <s v="R&amp;M Plant &amp; Equipment"/>
        <s v="Internal Post Office"/>
        <s v="Internal Transfer - Guesthouse"/>
        <s v="Internal Transfer - R&amp;M"/>
        <s v="Federal Government Grants - Operating Grant"/>
        <s v="Bus Hire"/>
        <s v="Motor Vehicle Registration"/>
        <s v="Motor Vehicle R&amp;M"/>
        <s v="Internal Transfer - Workshop"/>
        <s v="Hall &amp; Site Hire"/>
        <s v="Cleaning Expenses"/>
        <s v="Electricity General"/>
        <s v="Contributions"/>
        <s v="Subscriptions, Fees &amp; Licences"/>
        <s v="Training Costs"/>
        <s v="Materials &amp; Supplies Overheads"/>
        <s v="Internal Transfer - Fuel"/>
        <s v="Leave Airfares"/>
        <s v="Groceries - Hacc"/>
        <s v="Tools &amp; Minor Equipment"/>
        <s v="Computer Hardware &amp; Software"/>
        <s v="Consultancy - Accounting/Admin"/>
        <s v="Consultancy, General"/>
        <s v="Internal Grants - Rent &amp; Service Charges"/>
        <s v="Seminars &amp; Conferennces"/>
        <s v="Internal Transfer - Plant Hire"/>
        <s v="Aged Care - Meals On Wheels Service"/>
        <s v="Aged Cared Income - Catering"/>
        <s v="Dog Program"/>
        <s v="Motor Vehicle Insurance"/>
        <s v="Motor Vehicle Fuel"/>
        <s v="Seminars &amp; Conferences"/>
        <s v="Staff Recruitment"/>
        <s v="Asset Management"/>
        <s v="Audit Fees"/>
        <s v="Consultancy, Computer Support"/>
        <s v="Consultancy- Valuation"/>
        <s v="Debt Collection Expenses"/>
        <s v="Rent"/>
        <s v="Postage"/>
        <s v="Bank Charges"/>
        <s v="Capital Expenditure Over $5000"/>
        <s v="Councillor Remuneration"/>
        <s v="Insurance"/>
        <s v="Legal Fees"/>
        <s v="Sundry Fees &amp; Charges"/>
        <s v="Atm Commission"/>
        <s v="Expenses Reimbursed"/>
        <s v="Interest Received"/>
        <s v="40 Year Lease Incentive"/>
        <s v="Self Generating Income"/>
        <s v="Resitituion Income"/>
        <s v="Recycling Income"/>
        <s v="Subsidies - Wages, Traineeships"/>
        <s v="Donations"/>
        <s v="Hire Of Plant &amp; Equipment"/>
        <s v="Admin Store Sales"/>
        <s v="Accommodation Revenue"/>
        <s v="Vending Machine Sales"/>
        <s v="Internal Transfer - Gas Bottle"/>
        <s v="Gas Bottle Revenue"/>
        <s v="Fuel Sales"/>
        <s v="Ctp Fuel Subsidy"/>
        <s v="Fuel Stock"/>
        <s v="Gas Bottles"/>
        <s v="Gas Cylinder Rental"/>
        <s v="Camping Fees"/>
        <s v="Camping Fees Distributed"/>
        <s v="Rent - Commercial Property"/>
        <s v="Ranger Services"/>
        <s v="Internal - Rangers"/>
        <s v="Boat Insurance"/>
        <s v="Motor Vehicle Repairs &amp; Maint"/>
        <s v="Contractors"/>
        <s v="Boat Registration"/>
        <s v="Carbon Trade Sales"/>
        <s v="Rent - Staff Housing"/>
        <s v="Building Repairs Income"/>
        <s v="Housing Repairs &amp; Maintenance"/>
        <s v="Rent - Community Housing"/>
        <s v="Airline Agency Commissions"/>
        <s v="Airline Ticket Sales"/>
        <s v="Avdata"/>
        <s v="Workshop Revenue"/>
        <s v="Workshop Parts"/>
        <s v="Gas, Industrial Purchases"/>
        <s v="Concrete Batching"/>
        <s v="Hire Plant, Equipment &amp; Vehicl"/>
        <s v="Internal Transfer - Wages"/>
        <s v="Federal Government Grants - Capital Grant"/>
        <s v="State Government Grants (Capital Grant)"/>
        <s v="Mowing Income"/>
        <s v="Service Charges"/>
        <s v="Water Supply Expensews"/>
        <s v="Fish Stock Sales" u="1"/>
        <s v="Plant &amp; Equipment Repairs" u="1"/>
        <s v="Boat Repairs &amp; Maintenance" u="1"/>
        <s v="Aged Cared Income" u="1"/>
        <s v="Admin Store Stock" u="1"/>
        <s v="Grants Repaid" u="1"/>
        <s v="Carbon Sales" u="1"/>
        <s v="Advertising" u="1"/>
        <s v="Sport/Community/Recreational Expenses" u="1"/>
        <s v="Sale Of Cattle" u="1"/>
        <s v="Plant &amp; Equipment (Over $5000)" u="1"/>
        <s v="Office Reface Costs" u="1"/>
        <s v="Repairs &amp; Maintenance, General" u="1"/>
        <s v="Office Supplies" u="1"/>
        <s v="Internal Transfers - Accounting Fees " u="1"/>
        <s v="Building Materials Income" u="1"/>
        <s v="Sundry Expenses" u="1"/>
      </sharedItems>
    </cacheField>
    <cacheField name="BUDGET 16-17" numFmtId="0">
      <sharedItems containsString="0" containsBlank="1" containsNumber="1" minValue="-2971380" maxValue="17828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6">
  <r>
    <n v="10"/>
    <x v="0"/>
    <n v="115"/>
    <s v="Get Ready Disaster Management"/>
    <s v="11510"/>
    <s v="Get Ready Qld - Grant"/>
    <s v=""/>
    <m/>
    <n v="124"/>
    <x v="0"/>
    <n v="181"/>
    <x v="0"/>
    <n v="0"/>
  </r>
  <r>
    <n v="10"/>
    <x v="0"/>
    <n v="115"/>
    <s v="Get Ready Disaster Management"/>
    <s v="11540"/>
    <m/>
    <n v="115"/>
    <s v="Get Ready Qld - Expenditure"/>
    <n v="250"/>
    <x v="1"/>
    <n v="335"/>
    <x v="1"/>
    <n v="0"/>
  </r>
  <r>
    <n v="10"/>
    <x v="0"/>
    <n v="115"/>
    <s v="Get Ready Disaster Management"/>
    <s v="11540"/>
    <m/>
    <n v="115"/>
    <s v="Get Ready Qld - Expenditure"/>
    <n v="250"/>
    <x v="1"/>
    <n v="358"/>
    <x v="2"/>
    <n v="0"/>
  </r>
  <r>
    <n v="10"/>
    <x v="0"/>
    <n v="115"/>
    <s v="Get Ready Disaster Management"/>
    <s v="11540"/>
    <m/>
    <n v="115"/>
    <s v="Get Ready Qld - Expenditure"/>
    <n v="278"/>
    <x v="1"/>
    <n v="353"/>
    <x v="3"/>
    <n v="0"/>
  </r>
  <r>
    <n v="10"/>
    <x v="0"/>
    <n v="140"/>
    <s v="Justice Group"/>
    <s v="14010"/>
    <s v="Justice Group - Grant"/>
    <s v=""/>
    <m/>
    <n v="124"/>
    <x v="0"/>
    <n v="180"/>
    <x v="4"/>
    <n v="-30000"/>
  </r>
  <r>
    <n v="10"/>
    <x v="0"/>
    <n v="140"/>
    <s v="Justice Group"/>
    <s v="14010"/>
    <s v="Justice Group - Grant"/>
    <s v=""/>
    <m/>
    <n v="124"/>
    <x v="0"/>
    <n v="181"/>
    <x v="0"/>
    <n v="-70000"/>
  </r>
  <r>
    <n v="10"/>
    <x v="0"/>
    <n v="140"/>
    <s v="Justice Group"/>
    <s v="14030"/>
    <m/>
    <n v="140"/>
    <s v="Justice Group"/>
    <n v="201"/>
    <x v="2"/>
    <n v="210"/>
    <x v="5"/>
    <n v="52700"/>
  </r>
  <r>
    <n v="10"/>
    <x v="0"/>
    <n v="140"/>
    <s v="Justice Group"/>
    <s v="14030"/>
    <m/>
    <n v="140"/>
    <s v="Justice Group"/>
    <n v="204"/>
    <x v="2"/>
    <n v="240"/>
    <x v="6"/>
    <n v="6324"/>
  </r>
  <r>
    <n v="10"/>
    <x v="0"/>
    <n v="140"/>
    <s v="Justice Group"/>
    <s v="14030"/>
    <m/>
    <n v="140"/>
    <s v="Justice Group"/>
    <n v="205"/>
    <x v="2"/>
    <n v="256"/>
    <x v="7"/>
    <n v="885.36"/>
  </r>
  <r>
    <n v="10"/>
    <x v="0"/>
    <n v="140"/>
    <s v="Justice Group"/>
    <s v="14030"/>
    <m/>
    <n v="140"/>
    <s v="Justice Group"/>
    <n v="250"/>
    <x v="1"/>
    <n v="317"/>
    <x v="8"/>
    <n v="6000"/>
  </r>
  <r>
    <n v="10"/>
    <x v="0"/>
    <n v="140"/>
    <s v="Justice Group"/>
    <s v="14030"/>
    <m/>
    <n v="140"/>
    <s v="Justice Group"/>
    <n v="250"/>
    <x v="1"/>
    <n v="335"/>
    <x v="1"/>
    <n v="700"/>
  </r>
  <r>
    <n v="10"/>
    <x v="0"/>
    <n v="140"/>
    <s v="Justice Group"/>
    <s v="14030"/>
    <m/>
    <n v="140"/>
    <s v="Justice Group"/>
    <n v="250"/>
    <x v="1"/>
    <n v="353"/>
    <x v="3"/>
    <n v="21591"/>
  </r>
  <r>
    <n v="10"/>
    <x v="0"/>
    <n v="140"/>
    <s v="Justice Group"/>
    <s v="14030"/>
    <m/>
    <n v="140"/>
    <s v="Justice Group"/>
    <n v="250"/>
    <x v="1"/>
    <n v="350"/>
    <x v="9"/>
    <n v="1500"/>
  </r>
  <r>
    <n v="10"/>
    <x v="0"/>
    <n v="140"/>
    <s v="Justice Group"/>
    <s v="14030"/>
    <m/>
    <n v="140"/>
    <s v="Justice Group"/>
    <n v="250"/>
    <x v="1"/>
    <n v="369"/>
    <x v="10"/>
    <n v="800"/>
  </r>
  <r>
    <n v="10"/>
    <x v="0"/>
    <n v="140"/>
    <s v="Justice Group"/>
    <s v="14030"/>
    <m/>
    <n v="140"/>
    <s v="Justice Group"/>
    <n v="275"/>
    <x v="1"/>
    <n v="373"/>
    <x v="11"/>
    <n v="2500"/>
  </r>
  <r>
    <n v="10"/>
    <x v="0"/>
    <n v="140"/>
    <s v="Justice Group"/>
    <s v="14030"/>
    <m/>
    <n v="140"/>
    <s v="Justice Group"/>
    <n v="900"/>
    <x v="3"/>
    <n v="910"/>
    <x v="12"/>
    <n v="7000"/>
  </r>
  <r>
    <n v="20"/>
    <x v="1"/>
    <n v="221"/>
    <s v="Post Office"/>
    <s v="22110"/>
    <s v="Post Office - Income"/>
    <s v=""/>
    <m/>
    <n v="112"/>
    <x v="4"/>
    <n v="123"/>
    <x v="13"/>
    <n v="-45000"/>
  </r>
  <r>
    <n v="20"/>
    <x v="1"/>
    <n v="221"/>
    <s v="Post Office"/>
    <s v="22110"/>
    <s v="Post Office - Income"/>
    <s v=""/>
    <m/>
    <n v="112"/>
    <x v="4"/>
    <n v="124"/>
    <x v="14"/>
    <n v="-8538.75"/>
  </r>
  <r>
    <n v="20"/>
    <x v="1"/>
    <n v="221"/>
    <s v="Post Office"/>
    <s v="22110"/>
    <s v="Post Office - Income"/>
    <s v=""/>
    <m/>
    <n v="118"/>
    <x v="5"/>
    <n v="172"/>
    <x v="15"/>
    <n v="-139961"/>
  </r>
  <r>
    <n v="20"/>
    <x v="1"/>
    <n v="221"/>
    <s v="Post Office"/>
    <s v="22110"/>
    <s v="Post Office - Income"/>
    <s v=""/>
    <m/>
    <n v="122"/>
    <x v="5"/>
    <n v="162"/>
    <x v="16"/>
    <n v="-30000"/>
  </r>
  <r>
    <n v="20"/>
    <x v="1"/>
    <n v="221"/>
    <s v="Post Office"/>
    <s v="22130"/>
    <m/>
    <n v="221"/>
    <s v="Post Office"/>
    <n v="201"/>
    <x v="2"/>
    <n v="210"/>
    <x v="5"/>
    <n v="74267"/>
  </r>
  <r>
    <n v="20"/>
    <x v="1"/>
    <n v="221"/>
    <s v="Post Office"/>
    <s v="22130"/>
    <m/>
    <n v="221"/>
    <s v="Post Office"/>
    <n v="204"/>
    <x v="2"/>
    <n v="240"/>
    <x v="6"/>
    <n v="8912.0399999999991"/>
  </r>
  <r>
    <n v="20"/>
    <x v="1"/>
    <n v="221"/>
    <s v="Post Office"/>
    <s v="22130"/>
    <m/>
    <n v="221"/>
    <s v="Post Office"/>
    <n v="205"/>
    <x v="2"/>
    <n v="253"/>
    <x v="17"/>
    <n v="6000"/>
  </r>
  <r>
    <n v="20"/>
    <x v="1"/>
    <n v="221"/>
    <s v="Post Office"/>
    <s v="22130"/>
    <m/>
    <n v="221"/>
    <s v="Post Office"/>
    <n v="205"/>
    <x v="2"/>
    <n v="255"/>
    <x v="18"/>
    <n v="250"/>
  </r>
  <r>
    <n v="20"/>
    <x v="1"/>
    <n v="221"/>
    <s v="Post Office"/>
    <s v="22130"/>
    <m/>
    <n v="221"/>
    <s v="Post Office"/>
    <n v="205"/>
    <x v="2"/>
    <n v="256"/>
    <x v="7"/>
    <n v="1247.6855999999998"/>
  </r>
  <r>
    <n v="20"/>
    <x v="1"/>
    <n v="221"/>
    <s v="Post Office"/>
    <s v="22130"/>
    <m/>
    <n v="221"/>
    <s v="Post Office"/>
    <n v="211"/>
    <x v="6"/>
    <n v="284"/>
    <x v="19"/>
    <n v="25000"/>
  </r>
  <r>
    <n v="20"/>
    <x v="1"/>
    <n v="221"/>
    <s v="Post Office"/>
    <s v="22130"/>
    <m/>
    <n v="221"/>
    <s v="Post Office"/>
    <n v="211"/>
    <x v="6"/>
    <n v="286"/>
    <x v="20"/>
    <n v="148500"/>
  </r>
  <r>
    <n v="20"/>
    <x v="1"/>
    <n v="221"/>
    <s v="Post Office"/>
    <s v="22130"/>
    <m/>
    <n v="221"/>
    <s v="Post Office"/>
    <n v="250"/>
    <x v="1"/>
    <n v="335"/>
    <x v="1"/>
    <n v="300"/>
  </r>
  <r>
    <n v="20"/>
    <x v="1"/>
    <n v="221"/>
    <s v="Post Office"/>
    <s v="22130"/>
    <m/>
    <n v="221"/>
    <s v="Post Office"/>
    <n v="250"/>
    <x v="1"/>
    <n v="350"/>
    <x v="9"/>
    <n v="1000"/>
  </r>
  <r>
    <n v="20"/>
    <x v="1"/>
    <n v="221"/>
    <s v="Post Office"/>
    <s v="22130"/>
    <m/>
    <n v="221"/>
    <s v="Post Office"/>
    <n v="250"/>
    <x v="1"/>
    <n v="364"/>
    <x v="21"/>
    <n v="100"/>
  </r>
  <r>
    <n v="20"/>
    <x v="1"/>
    <n v="221"/>
    <s v="Post Office"/>
    <s v="22130"/>
    <m/>
    <n v="221"/>
    <s v="Post Office"/>
    <n v="250"/>
    <x v="1"/>
    <n v="366"/>
    <x v="22"/>
    <n v="600"/>
  </r>
  <r>
    <n v="20"/>
    <x v="1"/>
    <n v="221"/>
    <s v="Post Office"/>
    <s v="22130"/>
    <m/>
    <n v="221"/>
    <s v="Post Office"/>
    <n v="250"/>
    <x v="1"/>
    <n v="369"/>
    <x v="10"/>
    <n v="1500"/>
  </r>
  <r>
    <n v="20"/>
    <x v="1"/>
    <n v="221"/>
    <s v="Post Office"/>
    <s v="22130"/>
    <m/>
    <n v="221"/>
    <s v="Post Office"/>
    <n v="272"/>
    <x v="7"/>
    <n v="380"/>
    <x v="23"/>
    <n v="2000"/>
  </r>
  <r>
    <n v="20"/>
    <x v="1"/>
    <n v="221"/>
    <s v="Post Office"/>
    <s v="22130"/>
    <m/>
    <n v="221"/>
    <s v="Post Office"/>
    <n v="272"/>
    <x v="7"/>
    <n v="382"/>
    <x v="24"/>
    <n v="500"/>
  </r>
  <r>
    <n v="20"/>
    <x v="1"/>
    <n v="221"/>
    <s v="Post Office"/>
    <s v="22130"/>
    <m/>
    <n v="221"/>
    <s v="Post Office"/>
    <n v="900"/>
    <x v="3"/>
    <n v="901"/>
    <x v="25"/>
    <n v="-160"/>
  </r>
  <r>
    <n v="20"/>
    <x v="1"/>
    <n v="221"/>
    <s v="Post Office"/>
    <s v="22130"/>
    <m/>
    <n v="221"/>
    <s v="Post Office"/>
    <n v="900"/>
    <x v="3"/>
    <n v="903"/>
    <x v="26"/>
    <n v="9600"/>
  </r>
  <r>
    <n v="20"/>
    <x v="1"/>
    <n v="221"/>
    <s v="Post Office"/>
    <s v="22130"/>
    <m/>
    <n v="221"/>
    <s v="Post Office"/>
    <n v="900"/>
    <x v="3"/>
    <n v="905"/>
    <x v="27"/>
    <n v="2000"/>
  </r>
  <r>
    <n v="10"/>
    <x v="0"/>
    <n v="222"/>
    <s v="Centrelink"/>
    <s v="22210"/>
    <s v="Centrelink - Income"/>
    <s v=""/>
    <m/>
    <n v="124"/>
    <x v="0"/>
    <n v="182"/>
    <x v="28"/>
    <n v="-41707.94"/>
  </r>
  <r>
    <n v="10"/>
    <x v="0"/>
    <n v="222"/>
    <s v="Centrelink"/>
    <s v="22230"/>
    <m/>
    <n v="222"/>
    <s v="Centrelink"/>
    <n v="201"/>
    <x v="2"/>
    <n v="210"/>
    <x v="5"/>
    <n v="40052"/>
  </r>
  <r>
    <n v="10"/>
    <x v="0"/>
    <n v="222"/>
    <s v="Centrelink"/>
    <s v="22230"/>
    <m/>
    <n v="222"/>
    <s v="Centrelink"/>
    <n v="204"/>
    <x v="2"/>
    <n v="240"/>
    <x v="6"/>
    <n v="4806.24"/>
  </r>
  <r>
    <n v="10"/>
    <x v="0"/>
    <n v="222"/>
    <s v="Centrelink"/>
    <s v="22230"/>
    <m/>
    <n v="222"/>
    <s v="Centrelink"/>
    <n v="205"/>
    <x v="2"/>
    <n v="256"/>
    <x v="7"/>
    <n v="672.8735999999999"/>
  </r>
  <r>
    <n v="10"/>
    <x v="0"/>
    <n v="224"/>
    <s v="Community Bus"/>
    <s v="22410"/>
    <s v="Bus - Income"/>
    <s v=""/>
    <m/>
    <n v="113"/>
    <x v="4"/>
    <n v="131"/>
    <x v="29"/>
    <n v="-1500"/>
  </r>
  <r>
    <n v="10"/>
    <x v="0"/>
    <n v="224"/>
    <s v="Community Bus"/>
    <s v="22450"/>
    <m/>
    <n v="224"/>
    <s v="Bus Expenses"/>
    <n v="250"/>
    <x v="1"/>
    <n v="335"/>
    <x v="1"/>
    <n v="100"/>
  </r>
  <r>
    <n v="10"/>
    <x v="0"/>
    <n v="224"/>
    <s v="Community Bus"/>
    <s v="22450"/>
    <m/>
    <n v="224"/>
    <s v="Bus Expenses"/>
    <n v="268"/>
    <x v="8"/>
    <n v="394"/>
    <x v="30"/>
    <n v="800"/>
  </r>
  <r>
    <n v="10"/>
    <x v="0"/>
    <n v="224"/>
    <s v="Community Bus"/>
    <s v="22450"/>
    <m/>
    <n v="224"/>
    <s v="Bus Expenses"/>
    <n v="268"/>
    <x v="8"/>
    <n v="395"/>
    <x v="31"/>
    <n v="250"/>
  </r>
  <r>
    <n v="10"/>
    <x v="0"/>
    <n v="224"/>
    <s v="Community Bus"/>
    <s v="22450"/>
    <m/>
    <n v="224"/>
    <s v="Bus Expenses"/>
    <n v="900"/>
    <x v="3"/>
    <n v="906"/>
    <x v="32"/>
    <n v="350"/>
  </r>
  <r>
    <n v="10"/>
    <x v="0"/>
    <n v="225"/>
    <s v="Hall"/>
    <s v="22510"/>
    <s v="Community Hall - Income"/>
    <s v=""/>
    <m/>
    <n v="113"/>
    <x v="4"/>
    <n v="133"/>
    <x v="33"/>
    <n v="-2500"/>
  </r>
  <r>
    <n v="10"/>
    <x v="0"/>
    <n v="225"/>
    <s v="Hall"/>
    <s v="22530"/>
    <m/>
    <n v="225"/>
    <s v="Community Hall Expenses"/>
    <n v="250"/>
    <x v="1"/>
    <n v="319"/>
    <x v="34"/>
    <n v="500"/>
  </r>
  <r>
    <n v="10"/>
    <x v="0"/>
    <n v="225"/>
    <s v="Hall"/>
    <s v="22530"/>
    <m/>
    <n v="225"/>
    <s v="Community Hall Expenses"/>
    <n v="250"/>
    <x v="1"/>
    <n v="369"/>
    <x v="10"/>
    <n v="500"/>
  </r>
  <r>
    <n v="10"/>
    <x v="0"/>
    <n v="225"/>
    <s v="Hall"/>
    <s v="22530"/>
    <m/>
    <n v="225"/>
    <s v="Community Hall Expenses"/>
    <n v="270"/>
    <x v="1"/>
    <n v="333"/>
    <x v="35"/>
    <n v="2500"/>
  </r>
  <r>
    <n v="10"/>
    <x v="0"/>
    <n v="225"/>
    <s v="Hall"/>
    <s v="22530"/>
    <m/>
    <n v="225"/>
    <s v="Community Hall Expenses"/>
    <n v="272"/>
    <x v="7"/>
    <n v="380"/>
    <x v="23"/>
    <n v="2500"/>
  </r>
  <r>
    <n v="10"/>
    <x v="0"/>
    <n v="225"/>
    <s v="Hall"/>
    <s v="22530"/>
    <m/>
    <n v="225"/>
    <s v="Community Hall Expenses"/>
    <n v="278"/>
    <x v="1"/>
    <n v="353"/>
    <x v="3"/>
    <n v="500"/>
  </r>
  <r>
    <n v="10"/>
    <x v="0"/>
    <n v="226"/>
    <s v="Tech Savvy Seniors"/>
    <s v="22610"/>
    <s v="Tech Savvy Seniors Grant - Income"/>
    <s v=""/>
    <m/>
    <n v="124"/>
    <x v="0"/>
    <n v="181"/>
    <x v="0"/>
    <n v="-15000"/>
  </r>
  <r>
    <n v="10"/>
    <x v="0"/>
    <n v="226"/>
    <s v="Tech Savvy Seniors"/>
    <n v="22630"/>
    <m/>
    <m/>
    <m/>
    <m/>
    <x v="1"/>
    <n v="353"/>
    <x v="3"/>
    <n v="15000"/>
  </r>
  <r>
    <n v="10"/>
    <x v="0"/>
    <n v="227"/>
    <s v="Bracs"/>
    <s v="22710"/>
    <s v="BRACS - Income"/>
    <s v=""/>
    <m/>
    <n v="124"/>
    <x v="0"/>
    <n v="185"/>
    <x v="36"/>
    <n v="-15000"/>
  </r>
  <r>
    <n v="10"/>
    <x v="0"/>
    <n v="227"/>
    <s v="Bracs"/>
    <s v="22730"/>
    <m/>
    <n v="227"/>
    <s v="Bracs"/>
    <n v="201"/>
    <x v="2"/>
    <n v="210"/>
    <x v="5"/>
    <n v="6727"/>
  </r>
  <r>
    <n v="10"/>
    <x v="0"/>
    <n v="227"/>
    <s v="Bracs"/>
    <s v="22730"/>
    <m/>
    <n v="227"/>
    <s v="Bracs"/>
    <n v="204"/>
    <x v="2"/>
    <n v="240"/>
    <x v="6"/>
    <n v="639.06500000000005"/>
  </r>
  <r>
    <n v="10"/>
    <x v="0"/>
    <n v="227"/>
    <s v="Bracs"/>
    <s v="22730"/>
    <m/>
    <n v="227"/>
    <s v="Bracs"/>
    <n v="205"/>
    <x v="2"/>
    <n v="256"/>
    <x v="7"/>
    <n v="110.49097500000001"/>
  </r>
  <r>
    <n v="10"/>
    <x v="0"/>
    <n v="227"/>
    <s v="Bracs"/>
    <s v="22730"/>
    <m/>
    <n v="227"/>
    <s v="Bracs"/>
    <n v="250"/>
    <x v="1"/>
    <n v="367"/>
    <x v="37"/>
    <n v="40"/>
  </r>
  <r>
    <n v="10"/>
    <x v="0"/>
    <n v="227"/>
    <s v="Bracs"/>
    <s v="22730"/>
    <m/>
    <n v="227"/>
    <s v="Bracs"/>
    <n v="250"/>
    <x v="1"/>
    <n v="369"/>
    <x v="10"/>
    <n v="500"/>
  </r>
  <r>
    <n v="10"/>
    <x v="0"/>
    <n v="227"/>
    <s v="Bracs"/>
    <s v="22730"/>
    <m/>
    <n v="227"/>
    <s v="Bracs"/>
    <n v="270"/>
    <x v="1"/>
    <n v="333"/>
    <x v="35"/>
    <n v="7000"/>
  </r>
  <r>
    <n v="10"/>
    <x v="0"/>
    <n v="228"/>
    <s v="Library"/>
    <s v="22810"/>
    <s v="Library - Income"/>
    <s v=""/>
    <m/>
    <n v="124"/>
    <x v="0"/>
    <n v="181"/>
    <x v="0"/>
    <n v="-17000"/>
  </r>
  <r>
    <n v="10"/>
    <x v="0"/>
    <n v="228"/>
    <s v="Library"/>
    <s v="22830"/>
    <m/>
    <n v="228"/>
    <s v="Library"/>
    <n v="201"/>
    <x v="2"/>
    <n v="210"/>
    <x v="5"/>
    <n v="45166"/>
  </r>
  <r>
    <n v="10"/>
    <x v="0"/>
    <n v="228"/>
    <s v="Library"/>
    <s v="22830"/>
    <m/>
    <n v="228"/>
    <s v="Library"/>
    <n v="204"/>
    <x v="2"/>
    <n v="240"/>
    <x v="6"/>
    <n v="5419.92"/>
  </r>
  <r>
    <n v="10"/>
    <x v="0"/>
    <n v="228"/>
    <s v="Library"/>
    <s v="22830"/>
    <m/>
    <n v="228"/>
    <s v="Library"/>
    <n v="205"/>
    <x v="2"/>
    <n v="256"/>
    <x v="7"/>
    <n v="758.78879999999992"/>
  </r>
  <r>
    <n v="10"/>
    <x v="0"/>
    <n v="228"/>
    <s v="Library"/>
    <s v="22830"/>
    <m/>
    <n v="228"/>
    <s v="Library"/>
    <n v="250"/>
    <x v="1"/>
    <n v="350"/>
    <x v="9"/>
    <n v="1000"/>
  </r>
  <r>
    <n v="10"/>
    <x v="0"/>
    <n v="228"/>
    <s v="Library"/>
    <s v="22830"/>
    <m/>
    <n v="228"/>
    <s v="Library"/>
    <n v="278"/>
    <x v="1"/>
    <n v="353"/>
    <x v="3"/>
    <n v="100"/>
  </r>
  <r>
    <n v="10"/>
    <x v="0"/>
    <n v="229"/>
    <s v="Ses"/>
    <s v="22910"/>
    <s v="SES - Income"/>
    <s v=""/>
    <m/>
    <n v="124"/>
    <x v="0"/>
    <n v="181"/>
    <x v="0"/>
    <n v="-14661"/>
  </r>
  <r>
    <n v="10"/>
    <x v="0"/>
    <n v="229"/>
    <s v="Ses"/>
    <s v="22940"/>
    <m/>
    <n v="229"/>
    <s v="Ses Expenses"/>
    <n v="201"/>
    <x v="2"/>
    <n v="210"/>
    <x v="5"/>
    <n v="2000"/>
  </r>
  <r>
    <n v="10"/>
    <x v="0"/>
    <n v="229"/>
    <s v="Ses"/>
    <s v="22940"/>
    <m/>
    <n v="229"/>
    <s v="Ses Expenses"/>
    <n v="205"/>
    <x v="2"/>
    <n v="252"/>
    <x v="38"/>
    <n v="1500"/>
  </r>
  <r>
    <n v="10"/>
    <x v="0"/>
    <n v="229"/>
    <s v="Ses"/>
    <s v="22940"/>
    <m/>
    <n v="229"/>
    <s v="Ses Expenses"/>
    <n v="250"/>
    <x v="1"/>
    <n v="335"/>
    <x v="1"/>
    <n v="200"/>
  </r>
  <r>
    <n v="10"/>
    <x v="0"/>
    <n v="229"/>
    <s v="Ses"/>
    <s v="22940"/>
    <m/>
    <n v="229"/>
    <s v="Ses Expenses"/>
    <n v="250"/>
    <x v="1"/>
    <n v="369"/>
    <x v="10"/>
    <n v="1500"/>
  </r>
  <r>
    <n v="10"/>
    <x v="0"/>
    <n v="229"/>
    <s v="Ses"/>
    <s v="22940"/>
    <m/>
    <n v="229"/>
    <s v="Ses Expenses"/>
    <n v="272"/>
    <x v="7"/>
    <n v="380"/>
    <x v="23"/>
    <n v="1500"/>
  </r>
  <r>
    <n v="10"/>
    <x v="0"/>
    <n v="229"/>
    <s v="Ses"/>
    <s v="22940"/>
    <m/>
    <n v="229"/>
    <s v="Ses Expenses"/>
    <n v="278"/>
    <x v="1"/>
    <n v="353"/>
    <x v="3"/>
    <n v="4500"/>
  </r>
  <r>
    <n v="10"/>
    <x v="0"/>
    <n v="229"/>
    <s v="Ses"/>
    <s v="22940"/>
    <m/>
    <n v="229"/>
    <s v="Ses Expenses"/>
    <n v="278"/>
    <x v="1"/>
    <n v="356"/>
    <x v="39"/>
    <n v="261"/>
  </r>
  <r>
    <n v="10"/>
    <x v="0"/>
    <n v="229"/>
    <s v="Ses"/>
    <s v="22940"/>
    <m/>
    <n v="229"/>
    <s v="Ses Expenses"/>
    <n v="900"/>
    <x v="3"/>
    <n v="904"/>
    <x v="40"/>
    <n v="1000"/>
  </r>
  <r>
    <n v="10"/>
    <x v="0"/>
    <n v="229"/>
    <s v="Ses"/>
    <s v="22940"/>
    <m/>
    <n v="229"/>
    <s v="Ses Expenses"/>
    <m/>
    <x v="3"/>
    <n v="910"/>
    <x v="12"/>
    <n v="2200"/>
  </r>
  <r>
    <n v="10"/>
    <x v="0"/>
    <n v="270"/>
    <s v="CHSP Home Support Programme (HACC)"/>
    <s v="27010"/>
    <s v="CHSP Home Support Programme (HACC) - Income"/>
    <s v=""/>
    <m/>
    <n v="124"/>
    <x v="0"/>
    <n v="182"/>
    <x v="28"/>
    <n v="-278645"/>
  </r>
  <r>
    <n v="10"/>
    <x v="0"/>
    <n v="270"/>
    <s v="CHSP Home Support Programme (HACC)"/>
    <s v="27030"/>
    <m/>
    <n v="270"/>
    <s v="Chsp Home Support Programme (Hacc) - Operating Expenditure"/>
    <n v="201"/>
    <x v="2"/>
    <n v="210"/>
    <x v="5"/>
    <n v="117678"/>
  </r>
  <r>
    <n v="10"/>
    <x v="0"/>
    <n v="270"/>
    <s v="CHSP Home Support Programme (HACC)"/>
    <s v="27030"/>
    <m/>
    <n v="270"/>
    <s v="Chsp Home Support Programme (Hacc) - Operating Expenditure"/>
    <n v="204"/>
    <x v="2"/>
    <n v="240"/>
    <x v="6"/>
    <n v="14121.359999999999"/>
  </r>
  <r>
    <n v="10"/>
    <x v="0"/>
    <n v="270"/>
    <s v="CHSP Home Support Programme (HACC)"/>
    <s v="27030"/>
    <m/>
    <n v="270"/>
    <s v="Chsp Home Support Programme (Hacc) - Operating Expenditure"/>
    <n v="205"/>
    <x v="2"/>
    <n v="250"/>
    <x v="41"/>
    <n v="3000"/>
  </r>
  <r>
    <n v="10"/>
    <x v="0"/>
    <n v="270"/>
    <s v="CHSP Home Support Programme (HACC)"/>
    <s v="27030"/>
    <m/>
    <n v="270"/>
    <s v="Chsp Home Support Programme (Hacc) - Operating Expenditure"/>
    <n v="205"/>
    <x v="2"/>
    <n v="255"/>
    <x v="18"/>
    <n v="400"/>
  </r>
  <r>
    <n v="10"/>
    <x v="0"/>
    <n v="270"/>
    <s v="CHSP Home Support Programme (HACC)"/>
    <s v="27030"/>
    <m/>
    <n v="270"/>
    <s v="Chsp Home Support Programme (Hacc) - Operating Expenditure"/>
    <n v="205"/>
    <x v="2"/>
    <n v="256"/>
    <x v="7"/>
    <n v="1976.9903999999997"/>
  </r>
  <r>
    <n v="10"/>
    <x v="0"/>
    <n v="270"/>
    <s v="CHSP Home Support Programme (HACC)"/>
    <s v="27030"/>
    <m/>
    <n v="270"/>
    <s v="Chsp Home Support Programme (Hacc) - Operating Expenditure"/>
    <n v="250"/>
    <x v="1"/>
    <n v="319"/>
    <x v="34"/>
    <n v="1000"/>
  </r>
  <r>
    <n v="10"/>
    <x v="0"/>
    <n v="270"/>
    <s v="CHSP Home Support Programme (HACC)"/>
    <s v="27030"/>
    <m/>
    <n v="270"/>
    <s v="Chsp Home Support Programme (Hacc) - Operating Expenditure"/>
    <n v="250"/>
    <x v="1"/>
    <n v="335"/>
    <x v="1"/>
    <n v="4000"/>
  </r>
  <r>
    <n v="10"/>
    <x v="0"/>
    <n v="270"/>
    <s v="CHSP Home Support Programme (HACC)"/>
    <s v="27030"/>
    <m/>
    <n v="270"/>
    <s v="Chsp Home Support Programme (Hacc) - Operating Expenditure"/>
    <n v="250"/>
    <x v="1"/>
    <n v="341"/>
    <x v="42"/>
    <n v="4739"/>
  </r>
  <r>
    <n v="10"/>
    <x v="0"/>
    <n v="270"/>
    <s v="CHSP Home Support Programme (HACC)"/>
    <s v="27030"/>
    <m/>
    <n v="270"/>
    <s v="Chsp Home Support Programme (Hacc) - Operating Expenditure"/>
    <n v="250"/>
    <x v="1"/>
    <n v="350"/>
    <x v="9"/>
    <n v="6500"/>
  </r>
  <r>
    <n v="10"/>
    <x v="0"/>
    <n v="270"/>
    <s v="CHSP Home Support Programme (HACC)"/>
    <s v="27030"/>
    <m/>
    <n v="270"/>
    <s v="Chsp Home Support Programme (Hacc) - Operating Expenditure"/>
    <n v="250"/>
    <x v="1"/>
    <n v="358"/>
    <x v="2"/>
    <n v="14000"/>
  </r>
  <r>
    <n v="10"/>
    <x v="0"/>
    <n v="270"/>
    <s v="CHSP Home Support Programme (HACC)"/>
    <s v="27030"/>
    <m/>
    <n v="270"/>
    <s v="Chsp Home Support Programme (Hacc) - Operating Expenditure"/>
    <n v="250"/>
    <x v="1"/>
    <n v="367"/>
    <x v="37"/>
    <n v="800"/>
  </r>
  <r>
    <n v="10"/>
    <x v="0"/>
    <n v="270"/>
    <s v="CHSP Home Support Programme (HACC)"/>
    <s v="27030"/>
    <m/>
    <n v="270"/>
    <s v="Chsp Home Support Programme (Hacc) - Operating Expenditure"/>
    <n v="250"/>
    <x v="1"/>
    <n v="369"/>
    <x v="10"/>
    <n v="3000"/>
  </r>
  <r>
    <n v="10"/>
    <x v="0"/>
    <n v="270"/>
    <s v="CHSP Home Support Programme (HACC)"/>
    <s v="27030"/>
    <m/>
    <n v="270"/>
    <s v="Chsp Home Support Programme (Hacc) - Operating Expenditure"/>
    <n v="250"/>
    <x v="1"/>
    <n v="371"/>
    <x v="43"/>
    <n v="1500"/>
  </r>
  <r>
    <n v="10"/>
    <x v="0"/>
    <n v="270"/>
    <s v="CHSP Home Support Programme (HACC)"/>
    <s v="27030"/>
    <m/>
    <n v="270"/>
    <s v="Chsp Home Support Programme (Hacc) - Operating Expenditure"/>
    <n v="252"/>
    <x v="1"/>
    <n v="324"/>
    <x v="44"/>
    <n v="4000"/>
  </r>
  <r>
    <n v="10"/>
    <x v="0"/>
    <n v="270"/>
    <s v="CHSP Home Support Programme (HACC)"/>
    <s v="27030"/>
    <m/>
    <n v="270"/>
    <s v="Chsp Home Support Programme (Hacc) - Operating Expenditure"/>
    <n v="254"/>
    <x v="1"/>
    <n v="320"/>
    <x v="45"/>
    <n v="5000"/>
  </r>
  <r>
    <n v="10"/>
    <x v="0"/>
    <n v="270"/>
    <s v="CHSP Home Support Programme (HACC)"/>
    <s v="27030"/>
    <m/>
    <n v="270"/>
    <s v="Chsp Home Support Programme (Hacc) - Operating Expenditure"/>
    <n v="254"/>
    <x v="1"/>
    <n v="323"/>
    <x v="46"/>
    <n v="3000"/>
  </r>
  <r>
    <n v="10"/>
    <x v="0"/>
    <n v="270"/>
    <s v="CHSP Home Support Programme (HACC)"/>
    <s v="27030"/>
    <m/>
    <n v="270"/>
    <s v="Chsp Home Support Programme (Hacc) - Operating Expenditure"/>
    <n v="272"/>
    <x v="7"/>
    <n v="382"/>
    <x v="24"/>
    <n v="2500"/>
  </r>
  <r>
    <n v="10"/>
    <x v="0"/>
    <n v="270"/>
    <s v="CHSP Home Support Programme (HACC)"/>
    <s v="27030"/>
    <m/>
    <n v="270"/>
    <s v="Chsp Home Support Programme (Hacc) - Operating Expenditure"/>
    <n v="275"/>
    <x v="1"/>
    <n v="373"/>
    <x v="11"/>
    <n v="3000"/>
  </r>
  <r>
    <n v="10"/>
    <x v="0"/>
    <n v="270"/>
    <s v="CHSP Home Support Programme (HACC)"/>
    <s v="27030"/>
    <m/>
    <n v="270"/>
    <s v="Chsp Home Support Programme (Hacc) - Operating Expenditure"/>
    <n v="278"/>
    <x v="1"/>
    <n v="353"/>
    <x v="3"/>
    <n v="10000"/>
  </r>
  <r>
    <n v="10"/>
    <x v="0"/>
    <n v="270"/>
    <s v="CHSP Home Support Programme (HACC)"/>
    <s v="27030"/>
    <m/>
    <n v="270"/>
    <s v="Chsp Home Support Programme (Hacc) - Operating Expenditure"/>
    <n v="278"/>
    <x v="1"/>
    <n v="356"/>
    <x v="39"/>
    <n v="1633"/>
  </r>
  <r>
    <n v="10"/>
    <x v="0"/>
    <n v="270"/>
    <s v="CHSP Home Support Programme (HACC)"/>
    <n v="27030"/>
    <m/>
    <m/>
    <m/>
    <m/>
    <x v="3"/>
    <n v="904"/>
    <x v="40"/>
    <n v="10000"/>
  </r>
  <r>
    <n v="10"/>
    <x v="0"/>
    <n v="270"/>
    <s v="CHSP Home Support Programme (HACC)"/>
    <s v="27030"/>
    <m/>
    <n v="270"/>
    <s v="Chsp Home Support Programme (Hacc) - Operating Expenditure"/>
    <n v="900"/>
    <x v="3"/>
    <n v="910"/>
    <x v="12"/>
    <n v="41796.75"/>
  </r>
  <r>
    <n v="10"/>
    <x v="0"/>
    <n v="270"/>
    <s v="CHSP Home Support Programme (HACC)"/>
    <s v="27030"/>
    <m/>
    <n v="270"/>
    <s v="Chsp Home Support Programme (Hacc) - Operating Expenditure"/>
    <n v="900"/>
    <x v="3"/>
    <n v="914"/>
    <x v="47"/>
    <n v="25000"/>
  </r>
  <r>
    <n v="10"/>
    <x v="0"/>
    <n v="271"/>
    <s v="Community Care Services (Rope)"/>
    <s v="27110"/>
    <s v="Community Care Services (ROPE) - Income"/>
    <s v=""/>
    <m/>
    <n v="124"/>
    <x v="0"/>
    <n v="181"/>
    <x v="0"/>
    <n v="-50000"/>
  </r>
  <r>
    <n v="10"/>
    <x v="0"/>
    <n v="271"/>
    <s v="Community Care Services (Rope)"/>
    <n v="27130"/>
    <m/>
    <m/>
    <m/>
    <m/>
    <x v="2"/>
    <n v="210"/>
    <x v="5"/>
    <n v="37400"/>
  </r>
  <r>
    <n v="10"/>
    <x v="0"/>
    <n v="271"/>
    <s v="Community Care Services (Rope)"/>
    <n v="27130"/>
    <m/>
    <m/>
    <m/>
    <m/>
    <x v="2"/>
    <n v="240"/>
    <x v="6"/>
    <n v="4472"/>
  </r>
  <r>
    <n v="10"/>
    <x v="0"/>
    <n v="271"/>
    <s v="Community Care Services (Rope)"/>
    <s v="27130"/>
    <m/>
    <n v="271"/>
    <s v="Community Care Services (Rope) - Operating Expenditure"/>
    <n v="205"/>
    <x v="2"/>
    <n v="256"/>
    <x v="7"/>
    <n v="628.07999999999993"/>
  </r>
  <r>
    <n v="10"/>
    <x v="0"/>
    <n v="271"/>
    <s v="Community Care Services (Rope)"/>
    <s v="27130"/>
    <m/>
    <n v="271"/>
    <s v="Community Care Services (Rope) - Operating Expenditure"/>
    <n v="900"/>
    <x v="3"/>
    <n v="910"/>
    <x v="12"/>
    <n v="7500"/>
  </r>
  <r>
    <n v="10"/>
    <x v="0"/>
    <n v="272"/>
    <s v="Cdc Program"/>
    <s v="27210"/>
    <s v="Consumer Directed Care Packages  - Income"/>
    <s v=""/>
    <m/>
    <n v="124"/>
    <x v="0"/>
    <n v="182"/>
    <x v="28"/>
    <n v="-245000"/>
  </r>
  <r>
    <n v="10"/>
    <x v="0"/>
    <n v="272"/>
    <s v="Cdc Program"/>
    <s v="27230"/>
    <m/>
    <n v="272"/>
    <s v="Consumer Directed Care Packages - Operating Expenditure"/>
    <n v="201"/>
    <x v="2"/>
    <n v="210"/>
    <x v="5"/>
    <n v="100325"/>
  </r>
  <r>
    <n v="10"/>
    <x v="0"/>
    <n v="272"/>
    <s v="Cdc Program"/>
    <s v="27230"/>
    <m/>
    <n v="272"/>
    <s v="Consumer Directed Care Packages - Operating Expenditure"/>
    <n v="204"/>
    <x v="2"/>
    <n v="240"/>
    <x v="6"/>
    <n v="12039"/>
  </r>
  <r>
    <n v="10"/>
    <x v="0"/>
    <n v="272"/>
    <s v="Cdc Program"/>
    <s v="27230"/>
    <m/>
    <n v="272"/>
    <s v="Consumer Directed Care Packages - Operating Expenditure"/>
    <n v="205"/>
    <x v="2"/>
    <n v="250"/>
    <x v="41"/>
    <n v="2000"/>
  </r>
  <r>
    <n v="10"/>
    <x v="0"/>
    <n v="272"/>
    <s v="Cdc Program"/>
    <s v="27230"/>
    <m/>
    <n v="272"/>
    <s v="Consumer Directed Care Packages - Operating Expenditure"/>
    <n v="205"/>
    <x v="2"/>
    <n v="251"/>
    <x v="48"/>
    <n v="1500"/>
  </r>
  <r>
    <n v="10"/>
    <x v="0"/>
    <n v="272"/>
    <s v="Cdc Program"/>
    <s v="27230"/>
    <m/>
    <n v="272"/>
    <s v="Consumer Directed Care Packages - Operating Expenditure"/>
    <n v="205"/>
    <x v="2"/>
    <n v="253"/>
    <x v="17"/>
    <n v="3000"/>
  </r>
  <r>
    <n v="10"/>
    <x v="0"/>
    <n v="272"/>
    <s v="Cdc Program"/>
    <s v="27230"/>
    <m/>
    <n v="272"/>
    <s v="Consumer Directed Care Packages - Operating Expenditure"/>
    <n v="205"/>
    <x v="2"/>
    <n v="255"/>
    <x v="18"/>
    <n v="400"/>
  </r>
  <r>
    <n v="10"/>
    <x v="0"/>
    <n v="272"/>
    <s v="Cdc Program"/>
    <s v="27230"/>
    <m/>
    <n v="272"/>
    <s v="Consumer Directed Care Packages - Operating Expenditure"/>
    <n v="205"/>
    <x v="2"/>
    <n v="256"/>
    <x v="7"/>
    <n v="1685.46"/>
  </r>
  <r>
    <n v="10"/>
    <x v="0"/>
    <n v="272"/>
    <s v="Cdc Program"/>
    <s v="27230"/>
    <m/>
    <n v="272"/>
    <s v="Consumer Directed Care Packages - Operating Expenditure"/>
    <n v="250"/>
    <x v="1"/>
    <n v="319"/>
    <x v="34"/>
    <n v="2500"/>
  </r>
  <r>
    <n v="10"/>
    <x v="0"/>
    <n v="272"/>
    <s v="Cdc Program"/>
    <s v="27230"/>
    <m/>
    <n v="272"/>
    <s v="Consumer Directed Care Packages - Operating Expenditure"/>
    <n v="250"/>
    <x v="1"/>
    <n v="335"/>
    <x v="1"/>
    <n v="3500"/>
  </r>
  <r>
    <n v="10"/>
    <x v="0"/>
    <n v="272"/>
    <s v="Cdc Program"/>
    <s v="27230"/>
    <m/>
    <n v="272"/>
    <s v="Consumer Directed Care Packages - Operating Expenditure"/>
    <n v="250"/>
    <x v="1"/>
    <n v="341"/>
    <x v="42"/>
    <n v="7500"/>
  </r>
  <r>
    <n v="10"/>
    <x v="0"/>
    <n v="272"/>
    <s v="Cdc Program"/>
    <s v="27230"/>
    <m/>
    <n v="272"/>
    <s v="Consumer Directed Care Packages - Operating Expenditure"/>
    <n v="250"/>
    <x v="1"/>
    <n v="358"/>
    <x v="2"/>
    <n v="5000"/>
  </r>
  <r>
    <n v="10"/>
    <x v="0"/>
    <n v="272"/>
    <s v="Cdc Program"/>
    <s v="27230"/>
    <m/>
    <n v="272"/>
    <s v="Consumer Directed Care Packages - Operating Expenditure"/>
    <n v="250"/>
    <x v="1"/>
    <n v="366"/>
    <x v="22"/>
    <n v="1000"/>
  </r>
  <r>
    <n v="10"/>
    <x v="0"/>
    <n v="272"/>
    <s v="Cdc Program"/>
    <s v="27230"/>
    <m/>
    <n v="272"/>
    <s v="Consumer Directed Care Packages - Operating Expenditure"/>
    <n v="250"/>
    <x v="1"/>
    <n v="371"/>
    <x v="43"/>
    <n v="1500"/>
  </r>
  <r>
    <n v="10"/>
    <x v="0"/>
    <n v="272"/>
    <s v="Cdc Program"/>
    <s v="27230"/>
    <m/>
    <n v="272"/>
    <s v="Consumer Directed Care Packages - Operating Expenditure"/>
    <n v="254"/>
    <x v="1"/>
    <n v="323"/>
    <x v="46"/>
    <n v="3000"/>
  </r>
  <r>
    <n v="10"/>
    <x v="0"/>
    <n v="272"/>
    <s v="Cdc Program"/>
    <s v="27230"/>
    <m/>
    <n v="272"/>
    <s v="Consumer Directed Care Packages - Operating Expenditure"/>
    <n v="270"/>
    <x v="1"/>
    <n v="333"/>
    <x v="35"/>
    <n v="16000"/>
  </r>
  <r>
    <n v="10"/>
    <x v="0"/>
    <n v="272"/>
    <s v="Cdc Program"/>
    <s v="27230"/>
    <m/>
    <n v="272"/>
    <s v="Consumer Directed Care Packages - Operating Expenditure"/>
    <n v="272"/>
    <x v="7"/>
    <n v="382"/>
    <x v="24"/>
    <n v="2500"/>
  </r>
  <r>
    <n v="10"/>
    <x v="0"/>
    <n v="272"/>
    <s v="Cdc Program"/>
    <s v="27230"/>
    <m/>
    <n v="272"/>
    <s v="Consumer Directed Care Packages - Operating Expenditure"/>
    <n v="275"/>
    <x v="1"/>
    <n v="373"/>
    <x v="11"/>
    <n v="1000"/>
  </r>
  <r>
    <n v="10"/>
    <x v="0"/>
    <n v="272"/>
    <s v="Cdc Program"/>
    <s v="27230"/>
    <m/>
    <n v="272"/>
    <s v="Consumer Directed Care Packages - Operating Expenditure"/>
    <n v="278"/>
    <x v="1"/>
    <n v="353"/>
    <x v="3"/>
    <n v="3500"/>
  </r>
  <r>
    <n v="10"/>
    <x v="0"/>
    <n v="272"/>
    <s v="Cdc Program"/>
    <s v="27230"/>
    <m/>
    <n v="272"/>
    <s v="Consumer Directed Care Packages - Operating Expenditure"/>
    <n v="278"/>
    <x v="1"/>
    <n v="356"/>
    <x v="39"/>
    <n v="301"/>
  </r>
  <r>
    <n v="10"/>
    <x v="0"/>
    <n v="272"/>
    <s v="Cdc Program"/>
    <s v="27230"/>
    <m/>
    <n v="272"/>
    <s v="Consumer Directed Care Packages - Operating Expenditure"/>
    <n v="900"/>
    <x v="3"/>
    <n v="904"/>
    <x v="40"/>
    <n v="5000"/>
  </r>
  <r>
    <n v="10"/>
    <x v="0"/>
    <n v="272"/>
    <s v="Cdc Program"/>
    <n v="27230"/>
    <m/>
    <n v="272"/>
    <s v="Consumer Directed Care Packages - Operating Expenditure"/>
    <m/>
    <x v="3"/>
    <n v="908"/>
    <x v="49"/>
    <n v="10000"/>
  </r>
  <r>
    <n v="10"/>
    <x v="0"/>
    <n v="272"/>
    <s v="Cdc Program"/>
    <s v="27230"/>
    <m/>
    <n v="272"/>
    <s v="Consumer Directed Care Packages - Operating Expenditure"/>
    <n v="900"/>
    <x v="3"/>
    <n v="910"/>
    <x v="12"/>
    <n v="36750"/>
  </r>
  <r>
    <n v="10"/>
    <x v="0"/>
    <n v="272"/>
    <s v="Cdc Program"/>
    <n v="27230"/>
    <s v="Consumer Directed Care Packages  - - Material &amp; Supplies"/>
    <n v="272"/>
    <s v="Consumer Directed Care Packages - Operating Expenditure"/>
    <n v="278"/>
    <x v="3"/>
    <n v="914"/>
    <x v="47"/>
    <n v="25000"/>
  </r>
  <r>
    <n v="10"/>
    <x v="0"/>
    <n v="274"/>
    <s v="Aged Care (Self-Gen)"/>
    <s v="27410"/>
    <s v="Aged Care - Income"/>
    <s v=""/>
    <m/>
    <n v="119"/>
    <x v="5"/>
    <n v="159"/>
    <x v="50"/>
    <n v="-120000"/>
  </r>
  <r>
    <n v="10"/>
    <x v="0"/>
    <n v="274"/>
    <s v="Aged Care (Self-Gen)"/>
    <s v="27410"/>
    <s v="Aged Care - Income"/>
    <s v=""/>
    <m/>
    <n v="119"/>
    <x v="5"/>
    <n v="174"/>
    <x v="51"/>
    <n v="-8000"/>
  </r>
  <r>
    <n v="10"/>
    <x v="0"/>
    <n v="274"/>
    <s v="Aged Care (Self-Gen)"/>
    <s v="27430"/>
    <m/>
    <n v="274"/>
    <s v="Aged Care - Operating Expenditure"/>
    <n v="250"/>
    <x v="1"/>
    <n v="317"/>
    <x v="8"/>
    <n v="500"/>
  </r>
  <r>
    <n v="10"/>
    <x v="0"/>
    <n v="274"/>
    <s v="Aged Care (Self-Gen)"/>
    <s v="27430"/>
    <m/>
    <n v="274"/>
    <s v="Aged Care - Operating Expenditure"/>
    <n v="250"/>
    <x v="1"/>
    <n v="335"/>
    <x v="1"/>
    <n v="7000"/>
  </r>
  <r>
    <n v="10"/>
    <x v="0"/>
    <n v="274"/>
    <s v="Aged Care (Self-Gen)"/>
    <s v="27430"/>
    <m/>
    <n v="274"/>
    <s v="Aged Care - Operating Expenditure"/>
    <n v="250"/>
    <x v="1"/>
    <n v="341"/>
    <x v="42"/>
    <n v="40000"/>
  </r>
  <r>
    <n v="10"/>
    <x v="0"/>
    <n v="275"/>
    <s v="Hacc - Njcp"/>
    <s v="27510"/>
    <s v="HACC NJCP - Income"/>
    <s v=""/>
    <m/>
    <n v="124"/>
    <x v="0"/>
    <n v="180"/>
    <x v="4"/>
    <n v="-125607"/>
  </r>
  <r>
    <n v="10"/>
    <x v="0"/>
    <n v="275"/>
    <s v="Hacc - Njcp"/>
    <s v="27510"/>
    <s v="HACC NJCP - Income"/>
    <s v=""/>
    <m/>
    <n v="124"/>
    <x v="0"/>
    <n v="182"/>
    <x v="28"/>
    <n v="-490076"/>
  </r>
  <r>
    <n v="10"/>
    <x v="0"/>
    <n v="275"/>
    <s v="Hacc - Njcp"/>
    <s v="27530"/>
    <m/>
    <n v="275"/>
    <s v="Hacc Njcp - Operating Expenditure"/>
    <n v="201"/>
    <x v="2"/>
    <n v="210"/>
    <x v="5"/>
    <n v="517879"/>
  </r>
  <r>
    <n v="10"/>
    <x v="0"/>
    <n v="275"/>
    <s v="Hacc - Njcp"/>
    <s v="27530"/>
    <m/>
    <n v="275"/>
    <s v="Hacc Njcp - Operating Expenditure"/>
    <n v="204"/>
    <x v="2"/>
    <n v="240"/>
    <x v="6"/>
    <n v="62145.479999999996"/>
  </r>
  <r>
    <n v="10"/>
    <x v="0"/>
    <n v="275"/>
    <s v="Hacc - Njcp"/>
    <s v="27530"/>
    <m/>
    <n v="275"/>
    <s v="Hacc Njcp - Operating Expenditure"/>
    <n v="205"/>
    <x v="2"/>
    <n v="256"/>
    <x v="7"/>
    <n v="8700.3671999999988"/>
  </r>
  <r>
    <n v="10"/>
    <x v="0"/>
    <n v="275"/>
    <s v="Hacc - Njcp"/>
    <n v="27530"/>
    <m/>
    <n v="275"/>
    <s v="Hacc Njcp - Operating Expenditure"/>
    <m/>
    <x v="2"/>
    <n v="252"/>
    <x v="38"/>
    <n v="26958"/>
  </r>
  <r>
    <n v="30"/>
    <x v="2"/>
    <n v="278"/>
    <s v="Atsi Ehw / Aco"/>
    <s v="27810"/>
    <s v="ATSI EHW / ACO - Income"/>
    <s v=""/>
    <m/>
    <n v="124"/>
    <x v="0"/>
    <n v="181"/>
    <x v="0"/>
    <n v="-155000"/>
  </r>
  <r>
    <n v="30"/>
    <x v="2"/>
    <n v="278"/>
    <s v="Atsi Ehw / Aco"/>
    <s v="27830"/>
    <m/>
    <n v="278"/>
    <s v="Ehw &amp; Aco"/>
    <n v="201"/>
    <x v="2"/>
    <n v="210"/>
    <x v="5"/>
    <n v="106904"/>
  </r>
  <r>
    <n v="30"/>
    <x v="2"/>
    <n v="278"/>
    <s v="Atsi Ehw / Aco"/>
    <s v="27830"/>
    <m/>
    <n v="278"/>
    <s v="Ehw &amp; Aco"/>
    <n v="204"/>
    <x v="2"/>
    <n v="240"/>
    <x v="6"/>
    <n v="12828.48"/>
  </r>
  <r>
    <n v="30"/>
    <x v="2"/>
    <n v="278"/>
    <s v="Atsi Ehw / Aco"/>
    <s v="27830"/>
    <m/>
    <n v="278"/>
    <s v="Ehw &amp; Aco"/>
    <n v="205"/>
    <x v="2"/>
    <n v="252"/>
    <x v="38"/>
    <n v="3500"/>
  </r>
  <r>
    <n v="30"/>
    <x v="2"/>
    <n v="278"/>
    <s v="Atsi Ehw / Aco"/>
    <s v="27830"/>
    <m/>
    <n v="278"/>
    <s v="Ehw &amp; Aco"/>
    <n v="205"/>
    <x v="2"/>
    <n v="253"/>
    <x v="17"/>
    <n v="5500"/>
  </r>
  <r>
    <n v="30"/>
    <x v="2"/>
    <n v="278"/>
    <s v="Atsi Ehw / Aco"/>
    <s v="27830"/>
    <m/>
    <n v="278"/>
    <s v="Ehw &amp; Aco"/>
    <n v="205"/>
    <x v="2"/>
    <n v="255"/>
    <x v="18"/>
    <n v="1000"/>
  </r>
  <r>
    <n v="30"/>
    <x v="2"/>
    <n v="278"/>
    <s v="Atsi Ehw / Aco"/>
    <s v="27830"/>
    <m/>
    <n v="278"/>
    <s v="Ehw &amp; Aco"/>
    <n v="205"/>
    <x v="2"/>
    <n v="256"/>
    <x v="7"/>
    <n v="1795.9871999999998"/>
  </r>
  <r>
    <n v="30"/>
    <x v="2"/>
    <n v="278"/>
    <s v="Atsi Ehw / Aco"/>
    <s v="27830"/>
    <m/>
    <n v="278"/>
    <s v="Ehw &amp; Aco"/>
    <n v="250"/>
    <x v="1"/>
    <n v="331"/>
    <x v="52"/>
    <n v="14222"/>
  </r>
  <r>
    <n v="30"/>
    <x v="2"/>
    <n v="278"/>
    <s v="Atsi Ehw / Aco"/>
    <s v="27830"/>
    <m/>
    <n v="278"/>
    <s v="Ehw &amp; Aco"/>
    <n v="250"/>
    <x v="1"/>
    <n v="335"/>
    <x v="1"/>
    <n v="700"/>
  </r>
  <r>
    <n v="30"/>
    <x v="2"/>
    <n v="278"/>
    <s v="Atsi Ehw / Aco"/>
    <s v="27830"/>
    <m/>
    <n v="278"/>
    <s v="Ehw &amp; Aco"/>
    <n v="264"/>
    <x v="8"/>
    <n v="393"/>
    <x v="53"/>
    <n v="450"/>
  </r>
  <r>
    <n v="30"/>
    <x v="2"/>
    <n v="278"/>
    <s v="Atsi Ehw / Aco"/>
    <s v="27830"/>
    <m/>
    <n v="278"/>
    <s v="Ehw &amp; Aco"/>
    <n v="268"/>
    <x v="8"/>
    <n v="392"/>
    <x v="54"/>
    <n v="400"/>
  </r>
  <r>
    <n v="30"/>
    <x v="2"/>
    <n v="278"/>
    <s v="Atsi Ehw / Aco"/>
    <s v="27830"/>
    <m/>
    <n v="278"/>
    <s v="Ehw &amp; Aco"/>
    <n v="268"/>
    <x v="8"/>
    <n v="394"/>
    <x v="30"/>
    <n v="700"/>
  </r>
  <r>
    <n v="30"/>
    <x v="2"/>
    <n v="278"/>
    <s v="Atsi Ehw / Aco"/>
    <s v="27830"/>
    <m/>
    <n v="278"/>
    <s v="Ehw &amp; Aco"/>
    <n v="268"/>
    <x v="8"/>
    <n v="395"/>
    <x v="31"/>
    <n v="1000"/>
  </r>
  <r>
    <n v="30"/>
    <x v="2"/>
    <n v="278"/>
    <s v="Atsi Ehw / Aco"/>
    <s v="27830"/>
    <m/>
    <n v="278"/>
    <s v="Ehw &amp; Aco"/>
    <n v="272"/>
    <x v="7"/>
    <n v="382"/>
    <x v="24"/>
    <n v="500"/>
  </r>
  <r>
    <n v="30"/>
    <x v="2"/>
    <n v="278"/>
    <s v="Atsi Ehw / Aco"/>
    <s v="27830"/>
    <m/>
    <n v="278"/>
    <s v="Ehw &amp; Aco"/>
    <n v="278"/>
    <x v="1"/>
    <n v="353"/>
    <x v="3"/>
    <n v="3500"/>
  </r>
  <r>
    <n v="30"/>
    <x v="2"/>
    <n v="278"/>
    <s v="Atsi Ehw / Aco"/>
    <s v="27830"/>
    <m/>
    <n v="278"/>
    <s v="Ehw &amp; Aco"/>
    <n v="900"/>
    <x v="3"/>
    <n v="904"/>
    <x v="40"/>
    <n v="2000"/>
  </r>
  <r>
    <n v="40"/>
    <x v="3"/>
    <n v="400"/>
    <s v="Sgfa - Admin"/>
    <s v="40010"/>
    <s v="SGFA - Income"/>
    <s v=""/>
    <m/>
    <n v="124"/>
    <x v="0"/>
    <n v="181"/>
    <x v="0"/>
    <n v="-1281740"/>
  </r>
  <r>
    <n v="40"/>
    <x v="3"/>
    <n v="400"/>
    <s v="Sgfa - Admin"/>
    <s v="40030"/>
    <m/>
    <n v="400"/>
    <s v="Admin Support"/>
    <n v="201"/>
    <x v="2"/>
    <n v="210"/>
    <x v="5"/>
    <n v="273369"/>
  </r>
  <r>
    <n v="40"/>
    <x v="3"/>
    <n v="400"/>
    <s v="Sgfa - Admin"/>
    <s v="40030"/>
    <m/>
    <n v="400"/>
    <s v="Admin Support"/>
    <n v="204"/>
    <x v="2"/>
    <n v="240"/>
    <x v="6"/>
    <n v="32804.28"/>
  </r>
  <r>
    <n v="40"/>
    <x v="3"/>
    <n v="400"/>
    <s v="Sgfa - Admin"/>
    <s v="40030"/>
    <m/>
    <n v="400"/>
    <s v="Admin Support"/>
    <n v="205"/>
    <x v="2"/>
    <n v="251"/>
    <x v="55"/>
    <n v="2500"/>
  </r>
  <r>
    <n v="40"/>
    <x v="3"/>
    <n v="400"/>
    <s v="Sgfa - Admin"/>
    <s v="40030"/>
    <m/>
    <n v="400"/>
    <s v="Admin Support"/>
    <n v="205"/>
    <x v="2"/>
    <n v="252"/>
    <x v="38"/>
    <n v="10000"/>
  </r>
  <r>
    <n v="40"/>
    <x v="3"/>
    <n v="400"/>
    <s v="Sgfa - Admin"/>
    <s v="40030"/>
    <m/>
    <n v="400"/>
    <s v="Admin Support"/>
    <n v="205"/>
    <x v="2"/>
    <n v="253"/>
    <x v="17"/>
    <n v="5000"/>
  </r>
  <r>
    <n v="40"/>
    <x v="3"/>
    <n v="400"/>
    <s v="Sgfa - Admin"/>
    <s v="40030"/>
    <m/>
    <n v="400"/>
    <s v="Admin Support"/>
    <n v="205"/>
    <x v="2"/>
    <n v="254"/>
    <x v="56"/>
    <n v="1000"/>
  </r>
  <r>
    <n v="40"/>
    <x v="3"/>
    <n v="400"/>
    <s v="Sgfa - Admin"/>
    <s v="40030"/>
    <m/>
    <n v="400"/>
    <s v="Admin Support"/>
    <n v="205"/>
    <x v="2"/>
    <n v="256"/>
    <x v="7"/>
    <n v="4592.5992000000006"/>
  </r>
  <r>
    <n v="40"/>
    <x v="3"/>
    <n v="400"/>
    <s v="Sgfa - Admin"/>
    <s v="40030"/>
    <m/>
    <n v="400"/>
    <s v="Admin Support"/>
    <n v="254"/>
    <x v="1"/>
    <n v="302"/>
    <x v="57"/>
    <n v="20000"/>
  </r>
  <r>
    <n v="40"/>
    <x v="3"/>
    <n v="400"/>
    <s v="Sgfa - Admin"/>
    <s v="40030"/>
    <m/>
    <n v="400"/>
    <s v="Admin Support"/>
    <n v="251"/>
    <x v="1"/>
    <n v="311"/>
    <x v="58"/>
    <n v="90000"/>
  </r>
  <r>
    <n v="40"/>
    <x v="3"/>
    <n v="400"/>
    <s v="Sgfa - Admin"/>
    <s v="40030"/>
    <m/>
    <n v="400"/>
    <s v="Admin Support"/>
    <n v="250"/>
    <x v="1"/>
    <n v="317"/>
    <x v="8"/>
    <n v="1500"/>
  </r>
  <r>
    <n v="40"/>
    <x v="3"/>
    <n v="400"/>
    <s v="Sgfa - Admin"/>
    <s v="40030"/>
    <m/>
    <n v="400"/>
    <s v="Admin Support"/>
    <n v="250"/>
    <x v="1"/>
    <n v="319"/>
    <x v="34"/>
    <n v="2000"/>
  </r>
  <r>
    <n v="40"/>
    <x v="3"/>
    <n v="400"/>
    <s v="Sgfa - Admin"/>
    <s v="40030"/>
    <m/>
    <n v="400"/>
    <s v="Admin Support"/>
    <n v="254"/>
    <x v="1"/>
    <n v="320"/>
    <x v="45"/>
    <n v="75000"/>
  </r>
  <r>
    <n v="40"/>
    <x v="3"/>
    <n v="400"/>
    <s v="Sgfa - Admin"/>
    <s v="40030"/>
    <m/>
    <n v="400"/>
    <s v="Admin Support"/>
    <n v="254"/>
    <x v="1"/>
    <n v="321"/>
    <x v="59"/>
    <n v="45000"/>
  </r>
  <r>
    <n v="40"/>
    <x v="3"/>
    <n v="400"/>
    <s v="Sgfa - Admin"/>
    <s v="40030"/>
    <m/>
    <n v="400"/>
    <s v="Admin Support"/>
    <n v="252"/>
    <x v="1"/>
    <n v="324"/>
    <x v="44"/>
    <n v="7500"/>
  </r>
  <r>
    <n v="40"/>
    <x v="3"/>
    <n v="400"/>
    <s v="Sgfa - Admin"/>
    <s v="40030"/>
    <m/>
    <n v="400"/>
    <s v="Admin Support"/>
    <n v="254"/>
    <x v="1"/>
    <n v="326"/>
    <x v="60"/>
    <n v="6500"/>
  </r>
  <r>
    <n v="40"/>
    <x v="3"/>
    <n v="400"/>
    <s v="Sgfa - Admin"/>
    <s v="40030"/>
    <m/>
    <n v="400"/>
    <s v="Admin Support"/>
    <n v="250"/>
    <x v="1"/>
    <n v="329"/>
    <x v="61"/>
    <n v="5000"/>
  </r>
  <r>
    <n v="40"/>
    <x v="3"/>
    <n v="400"/>
    <s v="Sgfa - Admin"/>
    <s v="40030"/>
    <m/>
    <n v="400"/>
    <s v="Admin Support"/>
    <n v="270"/>
    <x v="1"/>
    <n v="333"/>
    <x v="35"/>
    <n v="10000"/>
  </r>
  <r>
    <n v="40"/>
    <x v="3"/>
    <n v="400"/>
    <s v="Sgfa - Admin"/>
    <s v="40030"/>
    <m/>
    <n v="400"/>
    <s v="Admin Support"/>
    <n v="250"/>
    <x v="1"/>
    <n v="350"/>
    <x v="9"/>
    <n v="4000"/>
  </r>
  <r>
    <n v="40"/>
    <x v="3"/>
    <n v="400"/>
    <s v="Sgfa - Admin"/>
    <s v="40030"/>
    <m/>
    <n v="400"/>
    <s v="Admin Support"/>
    <n v="250"/>
    <x v="1"/>
    <n v="352"/>
    <x v="62"/>
    <n v="26500"/>
  </r>
  <r>
    <n v="40"/>
    <x v="3"/>
    <n v="400"/>
    <s v="Sgfa - Admin"/>
    <s v="40030"/>
    <m/>
    <n v="400"/>
    <s v="Admin Support"/>
    <n v="278"/>
    <x v="1"/>
    <n v="353"/>
    <x v="3"/>
    <n v="3000"/>
  </r>
  <r>
    <n v="40"/>
    <x v="3"/>
    <n v="400"/>
    <s v="Sgfa - Admin"/>
    <s v="40030"/>
    <m/>
    <n v="400"/>
    <s v="Admin Support"/>
    <n v="250"/>
    <x v="1"/>
    <n v="363"/>
    <x v="63"/>
    <n v="250"/>
  </r>
  <r>
    <n v="40"/>
    <x v="3"/>
    <n v="400"/>
    <s v="Sgfa - Admin"/>
    <s v="40030"/>
    <m/>
    <n v="400"/>
    <s v="Admin Support"/>
    <n v="250"/>
    <x v="1"/>
    <n v="364"/>
    <x v="21"/>
    <n v="2000"/>
  </r>
  <r>
    <n v="40"/>
    <x v="3"/>
    <n v="400"/>
    <s v="Sgfa - Admin"/>
    <s v="40030"/>
    <m/>
    <n v="400"/>
    <s v="Admin Support"/>
    <n v="250"/>
    <x v="1"/>
    <n v="367"/>
    <x v="37"/>
    <n v="5000"/>
  </r>
  <r>
    <n v="40"/>
    <x v="3"/>
    <n v="400"/>
    <s v="Sgfa - Admin"/>
    <s v="40030"/>
    <m/>
    <n v="400"/>
    <s v="Admin Support"/>
    <n v="250"/>
    <x v="1"/>
    <n v="369"/>
    <x v="10"/>
    <n v="10000"/>
  </r>
  <r>
    <n v="40"/>
    <x v="3"/>
    <n v="400"/>
    <s v="Sgfa - Admin"/>
    <s v="40030"/>
    <m/>
    <n v="400"/>
    <s v="Admin Support"/>
    <n v="275"/>
    <x v="1"/>
    <n v="373"/>
    <x v="11"/>
    <n v="10000"/>
  </r>
  <r>
    <n v="40"/>
    <x v="3"/>
    <n v="400"/>
    <s v="Sgfa - Admin"/>
    <s v="40030"/>
    <m/>
    <n v="400"/>
    <s v="Admin Support"/>
    <n v="272"/>
    <x v="7"/>
    <n v="380"/>
    <x v="23"/>
    <n v="1500"/>
  </r>
  <r>
    <n v="40"/>
    <x v="3"/>
    <n v="400"/>
    <s v="Sgfa - Admin"/>
    <s v="40030"/>
    <m/>
    <n v="400"/>
    <s v="Admin Support"/>
    <n v="301"/>
    <x v="9"/>
    <n v="401"/>
    <x v="64"/>
    <n v="3000"/>
  </r>
  <r>
    <n v="40"/>
    <x v="3"/>
    <n v="400"/>
    <s v="Sgfa - Admin"/>
    <s v="40030"/>
    <m/>
    <n v="400"/>
    <s v="Admin Support"/>
    <n v="810"/>
    <x v="10"/>
    <n v="810"/>
    <x v="65"/>
    <n v="15000"/>
  </r>
  <r>
    <n v="40"/>
    <x v="3"/>
    <n v="400"/>
    <s v="Sgfa - Admin"/>
    <s v="40030"/>
    <m/>
    <n v="400"/>
    <s v="Admin Support"/>
    <n v="900"/>
    <x v="3"/>
    <n v="903"/>
    <x v="26"/>
    <n v="11200"/>
  </r>
  <r>
    <n v="40"/>
    <x v="3"/>
    <n v="400"/>
    <s v="Sgfa - Admin"/>
    <s v="40030"/>
    <m/>
    <n v="400"/>
    <s v="Admin Support"/>
    <n v="900"/>
    <x v="3"/>
    <n v="910"/>
    <x v="12"/>
    <n v="598524.12079999992"/>
  </r>
  <r>
    <n v="40"/>
    <x v="3"/>
    <n v="405"/>
    <s v="Fag Admin"/>
    <s v="40510"/>
    <s v="FAG - Income"/>
    <s v=""/>
    <m/>
    <n v="124"/>
    <x v="0"/>
    <n v="181"/>
    <x v="0"/>
    <n v="-1594400"/>
  </r>
  <r>
    <n v="40"/>
    <x v="3"/>
    <n v="405"/>
    <s v="Fag Admin"/>
    <s v="40530"/>
    <m/>
    <n v="408"/>
    <s v="Expenses Fag"/>
    <n v="201"/>
    <x v="2"/>
    <n v="210"/>
    <x v="5"/>
    <n v="336712"/>
  </r>
  <r>
    <n v="40"/>
    <x v="3"/>
    <n v="405"/>
    <s v="Fag Admin"/>
    <s v="40530"/>
    <m/>
    <n v="408"/>
    <s v="Expenses Fag"/>
    <n v="202"/>
    <x v="2"/>
    <n v="220"/>
    <x v="66"/>
    <n v="306578"/>
  </r>
  <r>
    <n v="40"/>
    <x v="3"/>
    <n v="405"/>
    <s v="Fag Admin"/>
    <s v="40530"/>
    <m/>
    <n v="408"/>
    <s v="Expenses Fag"/>
    <n v="204"/>
    <x v="2"/>
    <n v="240"/>
    <x v="6"/>
    <n v="69530.349999999991"/>
  </r>
  <r>
    <n v="40"/>
    <x v="3"/>
    <n v="405"/>
    <s v="Fag Admin"/>
    <s v="40530"/>
    <m/>
    <n v="408"/>
    <s v="Expenses Fag"/>
    <n v="205"/>
    <x v="2"/>
    <n v="250"/>
    <x v="41"/>
    <n v="7000"/>
  </r>
  <r>
    <n v="40"/>
    <x v="3"/>
    <n v="405"/>
    <s v="Fag Admin"/>
    <s v="40530"/>
    <m/>
    <n v="408"/>
    <s v="Expenses Fag"/>
    <n v="205"/>
    <x v="2"/>
    <n v="251"/>
    <x v="48"/>
    <n v="5000"/>
  </r>
  <r>
    <n v="40"/>
    <x v="3"/>
    <n v="405"/>
    <s v="Fag Admin"/>
    <s v="40530"/>
    <m/>
    <n v="408"/>
    <s v="Expenses Fag"/>
    <n v="205"/>
    <x v="2"/>
    <n v="252"/>
    <x v="38"/>
    <n v="25000"/>
  </r>
  <r>
    <n v="40"/>
    <x v="3"/>
    <n v="405"/>
    <s v="Fag Admin"/>
    <s v="40530"/>
    <m/>
    <n v="408"/>
    <s v="Expenses Fag"/>
    <n v="205"/>
    <x v="2"/>
    <n v="253"/>
    <x v="17"/>
    <n v="10000"/>
  </r>
  <r>
    <n v="40"/>
    <x v="3"/>
    <n v="405"/>
    <s v="Fag Admin"/>
    <s v="40530"/>
    <m/>
    <n v="408"/>
    <s v="Expenses Fag"/>
    <n v="205"/>
    <x v="2"/>
    <n v="254"/>
    <x v="56"/>
    <n v="2500"/>
  </r>
  <r>
    <n v="40"/>
    <x v="3"/>
    <n v="405"/>
    <s v="Fag Admin"/>
    <s v="40530"/>
    <m/>
    <n v="408"/>
    <s v="Expenses Fag"/>
    <n v="205"/>
    <x v="2"/>
    <n v="256"/>
    <x v="7"/>
    <n v="10692.305249999999"/>
  </r>
  <r>
    <n v="40"/>
    <x v="3"/>
    <n v="405"/>
    <s v="Fag Admin"/>
    <s v="40530"/>
    <m/>
    <n v="408"/>
    <s v="Expenses Fag"/>
    <n v="250"/>
    <x v="1"/>
    <n v="317"/>
    <x v="8"/>
    <n v="7500"/>
  </r>
  <r>
    <n v="40"/>
    <x v="3"/>
    <n v="405"/>
    <s v="Fag Admin"/>
    <s v="40530"/>
    <m/>
    <n v="408"/>
    <s v="Expenses Fag"/>
    <n v="254"/>
    <x v="1"/>
    <n v="320"/>
    <x v="45"/>
    <n v="10000"/>
  </r>
  <r>
    <n v="40"/>
    <x v="3"/>
    <n v="405"/>
    <s v="Fag Admin"/>
    <s v="40530"/>
    <m/>
    <n v="408"/>
    <s v="Expenses Fag"/>
    <n v="254"/>
    <x v="1"/>
    <n v="323"/>
    <x v="46"/>
    <n v="20000"/>
  </r>
  <r>
    <n v="40"/>
    <x v="3"/>
    <n v="405"/>
    <s v="Fag Admin"/>
    <n v="40530"/>
    <m/>
    <n v="408"/>
    <s v="Expenses Fag"/>
    <m/>
    <x v="1"/>
    <n v="333"/>
    <x v="35"/>
    <n v="18000"/>
  </r>
  <r>
    <n v="40"/>
    <x v="3"/>
    <n v="405"/>
    <s v="Fag Admin"/>
    <s v="40530"/>
    <m/>
    <n v="408"/>
    <s v="Expenses Fag"/>
    <n v="250"/>
    <x v="1"/>
    <n v="335"/>
    <x v="1"/>
    <n v="2500"/>
  </r>
  <r>
    <n v="40"/>
    <x v="3"/>
    <n v="405"/>
    <s v="Fag Admin"/>
    <s v="40530"/>
    <m/>
    <n v="408"/>
    <s v="Expenses Fag"/>
    <n v="264"/>
    <x v="1"/>
    <n v="347"/>
    <x v="67"/>
    <n v="189112"/>
  </r>
  <r>
    <n v="40"/>
    <x v="3"/>
    <n v="405"/>
    <s v="Fag Admin"/>
    <s v="40530"/>
    <m/>
    <n v="408"/>
    <s v="Expenses Fag"/>
    <n v="250"/>
    <x v="1"/>
    <n v="350"/>
    <x v="9"/>
    <n v="7500"/>
  </r>
  <r>
    <n v="40"/>
    <x v="3"/>
    <n v="405"/>
    <s v="Fag Admin"/>
    <s v="40530"/>
    <m/>
    <n v="408"/>
    <s v="Expenses Fag"/>
    <n v="250"/>
    <x v="1"/>
    <n v="351"/>
    <x v="68"/>
    <n v="10000"/>
  </r>
  <r>
    <n v="40"/>
    <x v="3"/>
    <n v="405"/>
    <s v="Fag Admin"/>
    <s v="40530"/>
    <m/>
    <n v="408"/>
    <s v="Expenses Fag"/>
    <n v="278"/>
    <x v="1"/>
    <n v="353"/>
    <x v="3"/>
    <n v="30000"/>
  </r>
  <r>
    <n v="40"/>
    <x v="3"/>
    <n v="405"/>
    <s v="Fag Admin"/>
    <s v="40530"/>
    <m/>
    <n v="408"/>
    <s v="Expenses Fag"/>
    <n v="250"/>
    <x v="1"/>
    <n v="364"/>
    <x v="21"/>
    <n v="15000"/>
  </r>
  <r>
    <n v="40"/>
    <x v="3"/>
    <n v="405"/>
    <s v="Fag Admin"/>
    <s v="40530"/>
    <m/>
    <n v="408"/>
    <s v="Expenses Fag"/>
    <n v="250"/>
    <x v="1"/>
    <n v="366"/>
    <x v="22"/>
    <n v="2000"/>
  </r>
  <r>
    <n v="40"/>
    <x v="3"/>
    <n v="405"/>
    <s v="Fag Admin"/>
    <s v="40530"/>
    <m/>
    <n v="408"/>
    <s v="Expenses Fag"/>
    <n v="250"/>
    <x v="1"/>
    <n v="367"/>
    <x v="37"/>
    <n v="40000"/>
  </r>
  <r>
    <n v="40"/>
    <x v="3"/>
    <n v="405"/>
    <s v="Fag Admin"/>
    <s v="40530"/>
    <m/>
    <n v="408"/>
    <s v="Expenses Fag"/>
    <n v="250"/>
    <x v="1"/>
    <n v="369"/>
    <x v="10"/>
    <n v="10000"/>
  </r>
  <r>
    <n v="40"/>
    <x v="3"/>
    <n v="405"/>
    <s v="Fag Admin"/>
    <s v="40530"/>
    <m/>
    <n v="408"/>
    <s v="Expenses Fag"/>
    <n v="275"/>
    <x v="1"/>
    <n v="373"/>
    <x v="11"/>
    <n v="10000"/>
  </r>
  <r>
    <n v="40"/>
    <x v="3"/>
    <n v="405"/>
    <s v="Fag Admin"/>
    <n v="40530"/>
    <m/>
    <n v="408"/>
    <s v="Expenses Fag"/>
    <m/>
    <x v="8"/>
    <n v="392"/>
    <x v="54"/>
    <n v="3000"/>
  </r>
  <r>
    <n v="40"/>
    <x v="3"/>
    <n v="405"/>
    <s v="Fag Admin"/>
    <s v="40530"/>
    <m/>
    <n v="408"/>
    <s v="Expenses Fag"/>
    <n v="268"/>
    <x v="8"/>
    <n v="394"/>
    <x v="30"/>
    <n v="900"/>
  </r>
  <r>
    <n v="40"/>
    <x v="3"/>
    <n v="405"/>
    <s v="Fag Admin"/>
    <s v="40530"/>
    <m/>
    <n v="408"/>
    <s v="Expenses Fag"/>
    <n v="900"/>
    <x v="3"/>
    <n v="903"/>
    <x v="26"/>
    <n v="8000"/>
  </r>
  <r>
    <n v="40"/>
    <x v="3"/>
    <n v="405"/>
    <s v="Fag Admin"/>
    <s v="40530"/>
    <m/>
    <n v="408"/>
    <s v="Expenses Fag"/>
    <n v="900"/>
    <x v="3"/>
    <n v="904"/>
    <x v="40"/>
    <n v="10000"/>
  </r>
  <r>
    <n v="40"/>
    <x v="3"/>
    <n v="405"/>
    <s v="Fag Admin"/>
    <s v="40530"/>
    <m/>
    <n v="408"/>
    <s v="Expenses Fag"/>
    <m/>
    <x v="3"/>
    <n v="910"/>
    <x v="12"/>
    <n v="427875.34475000016"/>
  </r>
  <r>
    <n v="40"/>
    <x v="3"/>
    <n v="407"/>
    <s v="Iedg"/>
    <s v="40710"/>
    <s v="IEDG - Income"/>
    <s v=""/>
    <m/>
    <n v="124"/>
    <x v="0"/>
    <n v="181"/>
    <x v="0"/>
    <n v="-80000"/>
  </r>
  <r>
    <n v="40"/>
    <x v="3"/>
    <n v="407"/>
    <s v="Iedg"/>
    <s v="40730"/>
    <m/>
    <n v="407"/>
    <s v="Iedg"/>
    <n v="201"/>
    <x v="2"/>
    <n v="210"/>
    <x v="5"/>
    <n v="72304"/>
  </r>
  <r>
    <n v="40"/>
    <x v="3"/>
    <n v="407"/>
    <s v="Iedg"/>
    <s v="40730"/>
    <m/>
    <n v="407"/>
    <s v="Iedg"/>
    <n v="204"/>
    <x v="2"/>
    <n v="240"/>
    <x v="6"/>
    <n v="8676.48"/>
  </r>
  <r>
    <n v="40"/>
    <x v="3"/>
    <n v="409"/>
    <s v="Admin - Self Generating"/>
    <s v="40910"/>
    <s v="Admin - Self Generating - Income"/>
    <s v=""/>
    <m/>
    <n v="110"/>
    <x v="4"/>
    <n v="111"/>
    <x v="69"/>
    <n v="-5000"/>
  </r>
  <r>
    <n v="40"/>
    <x v="3"/>
    <n v="409"/>
    <s v="Admin - Self Generating"/>
    <s v="40910"/>
    <s v="Admin - Self Generating - Income"/>
    <s v=""/>
    <m/>
    <n v="112"/>
    <x v="4"/>
    <n v="121"/>
    <x v="70"/>
    <n v="-1500"/>
  </r>
  <r>
    <n v="40"/>
    <x v="3"/>
    <n v="409"/>
    <s v="Admin - Self Generating"/>
    <s v="40910"/>
    <s v="Admin - Self Generating - Income"/>
    <s v=""/>
    <m/>
    <n v="113"/>
    <x v="11"/>
    <n v="137"/>
    <x v="71"/>
    <n v="-12000"/>
  </r>
  <r>
    <n v="40"/>
    <x v="3"/>
    <n v="409"/>
    <s v="Admin - Self Generating"/>
    <s v="40910"/>
    <s v="Admin - Self Generating - Income"/>
    <s v=""/>
    <m/>
    <n v="115"/>
    <x v="12"/>
    <n v="150"/>
    <x v="72"/>
    <n v="-230000"/>
  </r>
  <r>
    <n v="40"/>
    <x v="3"/>
    <n v="409"/>
    <s v="Admin - Self Generating"/>
    <s v="40910"/>
    <s v="Admin - Self Generating - Income"/>
    <s v=""/>
    <m/>
    <n v="123"/>
    <x v="11"/>
    <n v="145"/>
    <x v="73"/>
    <m/>
  </r>
  <r>
    <n v="40"/>
    <x v="3"/>
    <n v="409"/>
    <s v="Admin - Self Generating"/>
    <s v="40910"/>
    <s v="Admin - Self Generating - Income"/>
    <s v=""/>
    <m/>
    <n v="123"/>
    <x v="11"/>
    <n v="164"/>
    <x v="74"/>
    <n v="-5000"/>
  </r>
  <r>
    <n v="40"/>
    <x v="3"/>
    <n v="409"/>
    <s v="Admin - Self Generating"/>
    <s v="40910"/>
    <s v="Admin - Self Generating - Income"/>
    <s v=""/>
    <m/>
    <n v="123"/>
    <x v="11"/>
    <n v="165"/>
    <x v="75"/>
    <n v="-1000"/>
  </r>
  <r>
    <n v="40"/>
    <x v="3"/>
    <n v="409"/>
    <s v="Admin - Self Generating"/>
    <s v="40910"/>
    <s v="Admin - Self Generating - Income"/>
    <s v=""/>
    <m/>
    <n v="123"/>
    <x v="11"/>
    <n v="169"/>
    <x v="76"/>
    <n v="-2000"/>
  </r>
  <r>
    <n v="40"/>
    <x v="3"/>
    <n v="409"/>
    <s v="Admin - Self Generating"/>
    <s v="40910"/>
    <s v="Admin - Self Generating - Income"/>
    <s v=""/>
    <m/>
    <n v="123"/>
    <x v="0"/>
    <n v="186"/>
    <x v="77"/>
    <n v="-30000"/>
  </r>
  <r>
    <n v="40"/>
    <x v="3"/>
    <n v="409"/>
    <s v="Admin - Self Generating"/>
    <s v="40940"/>
    <m/>
    <n v="409"/>
    <s v="Admin - Self Generating"/>
    <n v="278"/>
    <x v="9"/>
    <n v="396"/>
    <x v="78"/>
    <n v="6000"/>
  </r>
  <r>
    <n v="40"/>
    <x v="3"/>
    <n v="409"/>
    <s v="Admin - Self Generating"/>
    <s v="40940"/>
    <m/>
    <n v="409"/>
    <s v="Admin - Self Generating"/>
    <n v="301"/>
    <x v="9"/>
    <n v="401"/>
    <x v="64"/>
    <n v="10500"/>
  </r>
  <r>
    <n v="40"/>
    <x v="3"/>
    <n v="409"/>
    <s v="Admin - Self Generating"/>
    <s v="40940"/>
    <m/>
    <n v="409"/>
    <s v="Admin - Self Generating"/>
    <n v="900"/>
    <x v="3"/>
    <n v="910"/>
    <x v="12"/>
    <n v="-1282811.5107500001"/>
  </r>
  <r>
    <n v="40"/>
    <x v="3"/>
    <n v="409"/>
    <s v="Admin - Self Generating"/>
    <s v="40940"/>
    <m/>
    <n v="409"/>
    <s v="Admin - Self Generating"/>
    <n v="900"/>
    <x v="3"/>
    <n v="914"/>
    <x v="47"/>
    <n v="-50000"/>
  </r>
  <r>
    <n v="20"/>
    <x v="1"/>
    <n v="420"/>
    <s v="Purchasing Store"/>
    <s v="42010"/>
    <s v="Admin Store - Income"/>
    <s v=""/>
    <m/>
    <n v="120"/>
    <x v="5"/>
    <n v="160"/>
    <x v="79"/>
    <n v="-10000"/>
  </r>
  <r>
    <n v="20"/>
    <x v="1"/>
    <n v="420"/>
    <s v="Purchasing Store"/>
    <s v="42010"/>
    <s v="Admin Store - Income"/>
    <s v=""/>
    <m/>
    <n v="122"/>
    <x v="5"/>
    <n v="163"/>
    <x v="80"/>
    <n v="-40000"/>
  </r>
  <r>
    <n v="20"/>
    <x v="1"/>
    <n v="420"/>
    <s v="Purchasing Store"/>
    <s v="42010"/>
    <s v="Admin Store - Income"/>
    <s v=""/>
    <m/>
    <n v="278"/>
    <x v="1"/>
    <n v="353"/>
    <x v="3"/>
    <m/>
  </r>
  <r>
    <n v="20"/>
    <x v="1"/>
    <n v="420"/>
    <s v="Purchasing Store"/>
    <s v="42010"/>
    <s v="Admin Store - Income"/>
    <s v=""/>
    <m/>
    <n v="278"/>
    <x v="1"/>
    <n v="356"/>
    <x v="39"/>
    <n v="-50000"/>
  </r>
  <r>
    <n v="20"/>
    <x v="1"/>
    <n v="420"/>
    <s v="Purchasing Store"/>
    <s v="42030"/>
    <m/>
    <n v="420"/>
    <s v="Purchasing Stores"/>
    <n v="201"/>
    <x v="2"/>
    <n v="210"/>
    <x v="5"/>
    <n v="155886"/>
  </r>
  <r>
    <n v="20"/>
    <x v="1"/>
    <n v="420"/>
    <s v="Purchasing Store"/>
    <s v="42030"/>
    <m/>
    <n v="420"/>
    <s v="Purchasing Stores"/>
    <n v="204"/>
    <x v="2"/>
    <n v="240"/>
    <x v="6"/>
    <n v="18706.32"/>
  </r>
  <r>
    <n v="20"/>
    <x v="1"/>
    <n v="420"/>
    <s v="Purchasing Store"/>
    <s v="42030"/>
    <m/>
    <n v="420"/>
    <s v="Purchasing Stores"/>
    <n v="205"/>
    <x v="2"/>
    <n v="250"/>
    <x v="41"/>
    <n v="3500"/>
  </r>
  <r>
    <n v="20"/>
    <x v="1"/>
    <n v="420"/>
    <s v="Purchasing Store"/>
    <s v="42030"/>
    <m/>
    <n v="420"/>
    <s v="Purchasing Stores"/>
    <n v="205"/>
    <x v="2"/>
    <n v="252"/>
    <x v="38"/>
    <n v="2000"/>
  </r>
  <r>
    <n v="20"/>
    <x v="1"/>
    <n v="420"/>
    <s v="Purchasing Store"/>
    <s v="42030"/>
    <m/>
    <n v="420"/>
    <s v="Purchasing Stores"/>
    <n v="205"/>
    <x v="2"/>
    <n v="255"/>
    <x v="18"/>
    <n v="1200"/>
  </r>
  <r>
    <n v="20"/>
    <x v="1"/>
    <n v="420"/>
    <s v="Purchasing Store"/>
    <s v="42030"/>
    <m/>
    <n v="420"/>
    <s v="Purchasing Stores"/>
    <n v="205"/>
    <x v="2"/>
    <n v="256"/>
    <x v="7"/>
    <n v="2618.8847999999998"/>
  </r>
  <r>
    <n v="20"/>
    <x v="1"/>
    <n v="420"/>
    <s v="Purchasing Store"/>
    <s v="42030"/>
    <m/>
    <n v="420"/>
    <s v="Purchasing Stores"/>
    <n v="250"/>
    <x v="1"/>
    <n v="335"/>
    <x v="1"/>
    <n v="12500"/>
  </r>
  <r>
    <n v="20"/>
    <x v="1"/>
    <n v="420"/>
    <s v="Purchasing Store"/>
    <s v="42030"/>
    <m/>
    <n v="420"/>
    <s v="Purchasing Stores"/>
    <n v="250"/>
    <x v="1"/>
    <n v="350"/>
    <x v="9"/>
    <n v="2000"/>
  </r>
  <r>
    <n v="20"/>
    <x v="1"/>
    <n v="420"/>
    <s v="Purchasing Store"/>
    <s v="42030"/>
    <m/>
    <n v="420"/>
    <s v="Purchasing Stores"/>
    <n v="250"/>
    <x v="1"/>
    <n v="366"/>
    <x v="22"/>
    <n v="2000"/>
  </r>
  <r>
    <n v="20"/>
    <x v="1"/>
    <n v="420"/>
    <s v="Purchasing Store"/>
    <s v="42030"/>
    <m/>
    <n v="420"/>
    <s v="Purchasing Stores"/>
    <n v="250"/>
    <x v="1"/>
    <n v="369"/>
    <x v="10"/>
    <n v="800"/>
  </r>
  <r>
    <n v="20"/>
    <x v="1"/>
    <n v="420"/>
    <s v="Purchasing Store"/>
    <s v="42030"/>
    <m/>
    <n v="420"/>
    <s v="Purchasing Stores"/>
    <n v="250"/>
    <x v="1"/>
    <n v="371"/>
    <x v="43"/>
    <n v="1500"/>
  </r>
  <r>
    <n v="20"/>
    <x v="1"/>
    <n v="420"/>
    <s v="Purchasing Store"/>
    <s v="42030"/>
    <m/>
    <n v="420"/>
    <s v="Purchasing Stores"/>
    <n v="268"/>
    <x v="8"/>
    <n v="394"/>
    <x v="30"/>
    <n v="500"/>
  </r>
  <r>
    <n v="20"/>
    <x v="1"/>
    <n v="420"/>
    <s v="Purchasing Store"/>
    <s v="42030"/>
    <m/>
    <n v="420"/>
    <s v="Purchasing Stores"/>
    <n v="270"/>
    <x v="1"/>
    <n v="333"/>
    <x v="35"/>
    <n v="7000"/>
  </r>
  <r>
    <n v="20"/>
    <x v="1"/>
    <n v="420"/>
    <s v="Purchasing Store"/>
    <s v="42030"/>
    <m/>
    <n v="420"/>
    <s v="Purchasing Stores"/>
    <n v="272"/>
    <x v="7"/>
    <n v="380"/>
    <x v="23"/>
    <n v="9000"/>
  </r>
  <r>
    <n v="20"/>
    <x v="1"/>
    <n v="420"/>
    <s v="Purchasing Store"/>
    <s v="42030"/>
    <m/>
    <n v="420"/>
    <s v="Purchasing Stores"/>
    <n v="272"/>
    <x v="7"/>
    <n v="382"/>
    <x v="24"/>
    <n v="1500"/>
  </r>
  <r>
    <n v="20"/>
    <x v="1"/>
    <n v="420"/>
    <s v="Purchasing Store"/>
    <s v="42030"/>
    <m/>
    <n v="420"/>
    <s v="Purchasing Stores"/>
    <n v="278"/>
    <x v="1"/>
    <n v="353"/>
    <x v="3"/>
    <n v="10000"/>
  </r>
  <r>
    <n v="20"/>
    <x v="1"/>
    <n v="420"/>
    <s v="Purchasing Store"/>
    <s v="42030"/>
    <m/>
    <n v="420"/>
    <s v="Purchasing Stores"/>
    <n v="278"/>
    <x v="1"/>
    <n v="356"/>
    <x v="39"/>
    <n v="2500"/>
  </r>
  <r>
    <n v="20"/>
    <x v="1"/>
    <n v="420"/>
    <s v="Purchasing Store"/>
    <s v="42030"/>
    <m/>
    <n v="420"/>
    <s v="Purchasing Stores"/>
    <n v="900"/>
    <x v="3"/>
    <n v="904"/>
    <x v="40"/>
    <n v="4500"/>
  </r>
  <r>
    <n v="20"/>
    <x v="1"/>
    <n v="420"/>
    <s v="Purchasing Store"/>
    <s v="42030"/>
    <m/>
    <n v="420"/>
    <s v="Purchasing Stores"/>
    <n v="900"/>
    <x v="3"/>
    <n v="906"/>
    <x v="32"/>
    <n v="2500"/>
  </r>
  <r>
    <n v="20"/>
    <x v="1"/>
    <n v="420"/>
    <s v="Purchasing Store"/>
    <n v="42030"/>
    <m/>
    <n v="420"/>
    <s v="Purchasing Stores"/>
    <m/>
    <x v="3"/>
    <n v="910"/>
    <x v="12"/>
    <n v="-140211.20480000001"/>
  </r>
  <r>
    <n v="20"/>
    <x v="1"/>
    <n v="510"/>
    <s v="Guest House"/>
    <s v="51010"/>
    <s v="Guesthouse Income"/>
    <s v=""/>
    <m/>
    <n v="114"/>
    <x v="13"/>
    <n v="144"/>
    <x v="81"/>
    <n v="-300000"/>
  </r>
  <r>
    <n v="20"/>
    <x v="1"/>
    <n v="510"/>
    <s v="Guest House"/>
    <s v="51010"/>
    <s v="Guesthouse Income"/>
    <s v=""/>
    <m/>
    <n v="122"/>
    <x v="4"/>
    <n v="127"/>
    <x v="82"/>
    <n v="-2000"/>
  </r>
  <r>
    <n v="20"/>
    <x v="1"/>
    <n v="510"/>
    <s v="Guest House"/>
    <s v="51030"/>
    <m/>
    <n v="510"/>
    <s v="Guesthouse"/>
    <n v="201"/>
    <x v="2"/>
    <n v="210"/>
    <x v="5"/>
    <n v="165273"/>
  </r>
  <r>
    <n v="20"/>
    <x v="1"/>
    <n v="510"/>
    <s v="Guest House"/>
    <s v="51030"/>
    <m/>
    <n v="510"/>
    <s v="Guesthouse"/>
    <n v="204"/>
    <x v="2"/>
    <n v="240"/>
    <x v="6"/>
    <n v="19832.759999999998"/>
  </r>
  <r>
    <n v="20"/>
    <x v="1"/>
    <n v="510"/>
    <s v="Guest House"/>
    <s v="51030"/>
    <m/>
    <n v="510"/>
    <s v="Guesthouse"/>
    <n v="205"/>
    <x v="2"/>
    <n v="255"/>
    <x v="18"/>
    <n v="600"/>
  </r>
  <r>
    <n v="20"/>
    <x v="1"/>
    <n v="510"/>
    <s v="Guest House"/>
    <s v="51030"/>
    <m/>
    <n v="510"/>
    <s v="Guesthouse"/>
    <n v="205"/>
    <x v="2"/>
    <n v="256"/>
    <x v="7"/>
    <n v="2776.5864000000001"/>
  </r>
  <r>
    <n v="20"/>
    <x v="1"/>
    <n v="510"/>
    <s v="Guest House"/>
    <s v="51030"/>
    <m/>
    <n v="510"/>
    <s v="Guesthouse"/>
    <n v="250"/>
    <x v="1"/>
    <n v="319"/>
    <x v="34"/>
    <n v="5000"/>
  </r>
  <r>
    <n v="20"/>
    <x v="1"/>
    <n v="510"/>
    <s v="Guest House"/>
    <s v="51030"/>
    <m/>
    <n v="510"/>
    <s v="Guesthouse"/>
    <n v="250"/>
    <x v="1"/>
    <n v="335"/>
    <x v="1"/>
    <n v="6000"/>
  </r>
  <r>
    <n v="20"/>
    <x v="1"/>
    <n v="510"/>
    <s v="Guest House"/>
    <s v="51030"/>
    <m/>
    <n v="510"/>
    <s v="Guesthouse"/>
    <n v="250"/>
    <x v="1"/>
    <n v="358"/>
    <x v="2"/>
    <n v="25000"/>
  </r>
  <r>
    <n v="20"/>
    <x v="1"/>
    <n v="510"/>
    <s v="Guest House"/>
    <s v="51030"/>
    <m/>
    <n v="510"/>
    <s v="Guesthouse"/>
    <n v="250"/>
    <x v="1"/>
    <n v="366"/>
    <x v="22"/>
    <n v="1000"/>
  </r>
  <r>
    <n v="20"/>
    <x v="1"/>
    <n v="510"/>
    <s v="Guest House"/>
    <s v="51030"/>
    <m/>
    <n v="510"/>
    <s v="Guesthouse"/>
    <n v="250"/>
    <x v="1"/>
    <n v="369"/>
    <x v="10"/>
    <n v="2000"/>
  </r>
  <r>
    <n v="20"/>
    <x v="1"/>
    <n v="510"/>
    <s v="Guest House"/>
    <s v="51030"/>
    <m/>
    <n v="510"/>
    <s v="Guesthouse"/>
    <n v="250"/>
    <x v="1"/>
    <n v="371"/>
    <x v="43"/>
    <n v="1500"/>
  </r>
  <r>
    <n v="20"/>
    <x v="1"/>
    <n v="510"/>
    <s v="Guest House"/>
    <s v="51030"/>
    <m/>
    <n v="510"/>
    <s v="Guesthouse"/>
    <n v="268"/>
    <x v="8"/>
    <n v="394"/>
    <x v="30"/>
    <n v="800"/>
  </r>
  <r>
    <n v="20"/>
    <x v="1"/>
    <n v="510"/>
    <s v="Guest House"/>
    <s v="51030"/>
    <m/>
    <n v="510"/>
    <s v="Guesthouse"/>
    <n v="270"/>
    <x v="1"/>
    <n v="333"/>
    <x v="35"/>
    <n v="10000"/>
  </r>
  <r>
    <n v="20"/>
    <x v="1"/>
    <n v="510"/>
    <s v="Guest House"/>
    <s v="51030"/>
    <m/>
    <n v="510"/>
    <s v="Guesthouse"/>
    <n v="272"/>
    <x v="7"/>
    <n v="380"/>
    <x v="23"/>
    <n v="5000"/>
  </r>
  <r>
    <n v="20"/>
    <x v="1"/>
    <n v="510"/>
    <s v="Guest House"/>
    <s v="51030"/>
    <m/>
    <n v="510"/>
    <s v="Guesthouse"/>
    <n v="278"/>
    <x v="1"/>
    <n v="353"/>
    <x v="3"/>
    <n v="10000"/>
  </r>
  <r>
    <n v="20"/>
    <x v="1"/>
    <n v="510"/>
    <s v="Guest House"/>
    <s v="51030"/>
    <m/>
    <n v="510"/>
    <s v="Guesthouse"/>
    <n v="278"/>
    <x v="1"/>
    <n v="356"/>
    <x v="39"/>
    <n v="800"/>
  </r>
  <r>
    <n v="20"/>
    <x v="1"/>
    <n v="510"/>
    <s v="Guest House"/>
    <s v="51030"/>
    <m/>
    <n v="510"/>
    <s v="Guesthouse"/>
    <n v="810"/>
    <x v="10"/>
    <n v="810"/>
    <x v="65"/>
    <n v="0"/>
  </r>
  <r>
    <n v="20"/>
    <x v="1"/>
    <n v="510"/>
    <s v="Guest House"/>
    <s v="51030"/>
    <m/>
    <n v="510"/>
    <s v="Guesthouse"/>
    <n v="900"/>
    <x v="3"/>
    <n v="902"/>
    <x v="83"/>
    <n v="3000"/>
  </r>
  <r>
    <n v="20"/>
    <x v="1"/>
    <n v="510"/>
    <s v="Guest House"/>
    <s v="51030"/>
    <m/>
    <n v="510"/>
    <s v="Guesthouse"/>
    <n v="900"/>
    <x v="3"/>
    <n v="903"/>
    <x v="26"/>
    <n v="64418.600000000006"/>
  </r>
  <r>
    <n v="20"/>
    <x v="1"/>
    <n v="510"/>
    <s v="Guest House"/>
    <s v="51030"/>
    <m/>
    <n v="510"/>
    <s v="Guesthouse"/>
    <n v="900"/>
    <x v="3"/>
    <n v="904"/>
    <x v="40"/>
    <n v="2500"/>
  </r>
  <r>
    <n v="20"/>
    <x v="1"/>
    <n v="510"/>
    <s v="Guest House"/>
    <s v="51030"/>
    <m/>
    <n v="510"/>
    <s v="Guesthouse"/>
    <n v="900"/>
    <x v="3"/>
    <n v="905"/>
    <x v="27"/>
    <n v="7500"/>
  </r>
  <r>
    <n v="20"/>
    <x v="1"/>
    <n v="510"/>
    <s v="Guest House"/>
    <s v="51030"/>
    <m/>
    <n v="510"/>
    <s v="Guesthouse"/>
    <n v="900"/>
    <x v="3"/>
    <n v="906"/>
    <x v="32"/>
    <n v="1500"/>
  </r>
  <r>
    <n v="20"/>
    <x v="1"/>
    <n v="515"/>
    <s v="Contractors Camp"/>
    <s v="51540"/>
    <m/>
    <n v="515"/>
    <s v="Contractors Camp Expenses"/>
    <n v="250"/>
    <x v="1"/>
    <n v="335"/>
    <x v="1"/>
    <n v="3500"/>
  </r>
  <r>
    <n v="20"/>
    <x v="1"/>
    <n v="515"/>
    <s v="Contractors Camp"/>
    <s v="51540"/>
    <m/>
    <n v="515"/>
    <s v="Contractors Camp Expenses"/>
    <n v="250"/>
    <x v="1"/>
    <n v="358"/>
    <x v="2"/>
    <n v="5000"/>
  </r>
  <r>
    <n v="20"/>
    <x v="1"/>
    <n v="515"/>
    <s v="Contractors Camp"/>
    <s v="51540"/>
    <m/>
    <n v="515"/>
    <s v="Contractors Camp Expenses"/>
    <n v="270"/>
    <x v="1"/>
    <n v="333"/>
    <x v="35"/>
    <n v="20000"/>
  </r>
  <r>
    <n v="20"/>
    <x v="1"/>
    <n v="515"/>
    <s v="Contractors Camp"/>
    <s v="51540"/>
    <m/>
    <n v="515"/>
    <s v="Contractors Camp Expenses"/>
    <n v="272"/>
    <x v="7"/>
    <n v="380"/>
    <x v="23"/>
    <n v="12000"/>
  </r>
  <r>
    <n v="20"/>
    <x v="1"/>
    <n v="515"/>
    <s v="Contractors Camp"/>
    <s v="51540"/>
    <m/>
    <n v="515"/>
    <s v="Contractors Camp Expenses"/>
    <n v="272"/>
    <x v="7"/>
    <n v="382"/>
    <x v="24"/>
    <n v="1500"/>
  </r>
  <r>
    <n v="20"/>
    <x v="1"/>
    <n v="515"/>
    <s v="Contractors Camp"/>
    <s v="51540"/>
    <m/>
    <n v="515"/>
    <s v="Contractors Camp Expenses"/>
    <n v="278"/>
    <x v="1"/>
    <n v="353"/>
    <x v="3"/>
    <n v="7500"/>
  </r>
  <r>
    <n v="20"/>
    <x v="1"/>
    <n v="515"/>
    <s v="Contractors Camp"/>
    <s v="51540"/>
    <m/>
    <n v="515"/>
    <s v="Contractors Camp Expenses"/>
    <n v="278"/>
    <x v="1"/>
    <n v="356"/>
    <x v="39"/>
    <n v="800"/>
  </r>
  <r>
    <n v="20"/>
    <x v="1"/>
    <n v="515"/>
    <s v="Contractors Camp"/>
    <n v="51540"/>
    <m/>
    <n v="515"/>
    <s v="Contractors Camp Expenses"/>
    <m/>
    <x v="3"/>
    <n v="902"/>
    <x v="83"/>
    <n v="1500"/>
  </r>
  <r>
    <n v="20"/>
    <x v="1"/>
    <n v="515"/>
    <s v="Contractors Camp"/>
    <s v="51540"/>
    <m/>
    <n v="515"/>
    <s v="Contractors Camp Expenses"/>
    <n v="900"/>
    <x v="3"/>
    <n v="903"/>
    <x v="26"/>
    <n v="-93218.6"/>
  </r>
  <r>
    <n v="20"/>
    <x v="1"/>
    <n v="515"/>
    <s v="Contractors Camp"/>
    <s v="51540"/>
    <m/>
    <n v="515"/>
    <s v="Contractors Camp Expenses"/>
    <n v="900"/>
    <x v="3"/>
    <n v="905"/>
    <x v="27"/>
    <n v="15000"/>
  </r>
  <r>
    <n v="20"/>
    <x v="1"/>
    <n v="520"/>
    <s v="Fuel Depot"/>
    <s v="52010"/>
    <s v="Fuel Depot - Income"/>
    <s v=""/>
    <m/>
    <n v="113"/>
    <x v="4"/>
    <n v="132"/>
    <x v="84"/>
    <n v="-35000"/>
  </r>
  <r>
    <n v="20"/>
    <x v="1"/>
    <n v="520"/>
    <s v="Fuel Depot"/>
    <s v="52010"/>
    <s v="Fuel Depot - Income"/>
    <s v=""/>
    <m/>
    <n v="121"/>
    <x v="5"/>
    <n v="161"/>
    <x v="85"/>
    <n v="-330000"/>
  </r>
  <r>
    <n v="20"/>
    <x v="1"/>
    <n v="520"/>
    <s v="Fuel Depot"/>
    <s v="52010"/>
    <s v="Fuel Depot - Income"/>
    <s v=""/>
    <m/>
    <n v="121"/>
    <x v="11"/>
    <n v="171"/>
    <x v="86"/>
    <n v="-3000"/>
  </r>
  <r>
    <n v="20"/>
    <x v="1"/>
    <n v="520"/>
    <s v="Fuel Depot"/>
    <s v="52040"/>
    <m/>
    <n v="520"/>
    <s v="Fuel &amp; Gas"/>
    <n v="211"/>
    <x v="6"/>
    <n v="280"/>
    <x v="87"/>
    <n v="580000"/>
  </r>
  <r>
    <n v="20"/>
    <x v="1"/>
    <n v="520"/>
    <s v="Fuel Depot"/>
    <s v="52040"/>
    <m/>
    <n v="520"/>
    <s v="Fuel &amp; Gas"/>
    <n v="211"/>
    <x v="6"/>
    <n v="281"/>
    <x v="88"/>
    <n v="25000"/>
  </r>
  <r>
    <n v="20"/>
    <x v="1"/>
    <n v="520"/>
    <s v="Fuel Depot"/>
    <s v="52040"/>
    <m/>
    <n v="520"/>
    <s v="Fuel &amp; Gas"/>
    <n v="250"/>
    <x v="1"/>
    <n v="335"/>
    <x v="1"/>
    <n v="6000"/>
  </r>
  <r>
    <n v="20"/>
    <x v="1"/>
    <n v="520"/>
    <s v="Fuel Depot"/>
    <s v="52040"/>
    <m/>
    <n v="520"/>
    <s v="Fuel &amp; Gas"/>
    <n v="250"/>
    <x v="1"/>
    <n v="339"/>
    <x v="89"/>
    <n v="1400"/>
  </r>
  <r>
    <n v="20"/>
    <x v="1"/>
    <n v="520"/>
    <s v="Fuel Depot"/>
    <s v="52040"/>
    <m/>
    <n v="520"/>
    <s v="Fuel &amp; Gas"/>
    <n v="250"/>
    <x v="1"/>
    <n v="350"/>
    <x v="9"/>
    <n v="300"/>
  </r>
  <r>
    <n v="20"/>
    <x v="1"/>
    <n v="520"/>
    <s v="Fuel Depot"/>
    <s v="52040"/>
    <m/>
    <n v="520"/>
    <s v="Fuel &amp; Gas"/>
    <n v="250"/>
    <x v="1"/>
    <n v="366"/>
    <x v="22"/>
    <n v="500"/>
  </r>
  <r>
    <n v="20"/>
    <x v="1"/>
    <n v="520"/>
    <s v="Fuel Depot"/>
    <s v="52040"/>
    <m/>
    <n v="520"/>
    <s v="Fuel &amp; Gas"/>
    <n v="250"/>
    <x v="1"/>
    <n v="367"/>
    <x v="37"/>
    <n v="200"/>
  </r>
  <r>
    <n v="20"/>
    <x v="1"/>
    <n v="520"/>
    <s v="Fuel Depot"/>
    <s v="52040"/>
    <m/>
    <n v="520"/>
    <s v="Fuel &amp; Gas"/>
    <n v="250"/>
    <x v="1"/>
    <n v="369"/>
    <x v="10"/>
    <n v="400"/>
  </r>
  <r>
    <n v="20"/>
    <x v="1"/>
    <n v="520"/>
    <s v="Fuel Depot"/>
    <s v="52040"/>
    <m/>
    <n v="520"/>
    <s v="Fuel &amp; Gas"/>
    <n v="254"/>
    <x v="1"/>
    <n v="321"/>
    <x v="59"/>
    <n v="1500"/>
  </r>
  <r>
    <n v="20"/>
    <x v="1"/>
    <n v="520"/>
    <s v="Fuel Depot"/>
    <s v="52040"/>
    <m/>
    <n v="520"/>
    <s v="Fuel &amp; Gas"/>
    <n v="272"/>
    <x v="7"/>
    <n v="382"/>
    <x v="24"/>
    <n v="8500"/>
  </r>
  <r>
    <n v="20"/>
    <x v="1"/>
    <n v="520"/>
    <s v="Fuel Depot"/>
    <s v="52040"/>
    <m/>
    <n v="520"/>
    <s v="Fuel &amp; Gas"/>
    <n v="278"/>
    <x v="1"/>
    <n v="353"/>
    <x v="3"/>
    <n v="3000"/>
  </r>
  <r>
    <n v="20"/>
    <x v="1"/>
    <n v="520"/>
    <s v="Fuel Depot"/>
    <s v="52040"/>
    <m/>
    <n v="520"/>
    <s v="Fuel &amp; Gas"/>
    <n v="278"/>
    <x v="1"/>
    <n v="356"/>
    <x v="39"/>
    <n v="150"/>
  </r>
  <r>
    <n v="20"/>
    <x v="1"/>
    <n v="520"/>
    <s v="Fuel Depot"/>
    <s v="52040"/>
    <m/>
    <n v="520"/>
    <s v="Fuel &amp; Gas"/>
    <n v="900"/>
    <x v="3"/>
    <n v="902"/>
    <x v="83"/>
    <n v="-5500"/>
  </r>
  <r>
    <n v="20"/>
    <x v="1"/>
    <n v="520"/>
    <s v="Fuel Depot"/>
    <s v="52040"/>
    <m/>
    <n v="520"/>
    <s v="Fuel &amp; Gas"/>
    <n v="900"/>
    <x v="3"/>
    <n v="904"/>
    <x v="40"/>
    <n v="-113000"/>
  </r>
  <r>
    <n v="20"/>
    <x v="1"/>
    <n v="520"/>
    <s v="Fuel Depot"/>
    <s v="52040"/>
    <m/>
    <n v="520"/>
    <s v="Fuel &amp; Gas"/>
    <n v="900"/>
    <x v="3"/>
    <n v="905"/>
    <x v="27"/>
    <n v="1000"/>
  </r>
  <r>
    <n v="30"/>
    <x v="2"/>
    <n v="526"/>
    <s v="Tourism"/>
    <s v="52610"/>
    <s v="Tourism - Income"/>
    <s v=""/>
    <m/>
    <n v="110"/>
    <x v="4"/>
    <n v="112"/>
    <x v="90"/>
    <n v="-55000"/>
  </r>
  <r>
    <n v="30"/>
    <x v="2"/>
    <n v="526"/>
    <s v="Tourism"/>
    <s v="52610"/>
    <s v="Tourism - Income"/>
    <s v=""/>
    <m/>
    <n v="110"/>
    <x v="4"/>
    <n v="113"/>
    <x v="91"/>
    <n v="27500"/>
  </r>
  <r>
    <n v="30"/>
    <x v="2"/>
    <n v="526"/>
    <s v="Tourism"/>
    <s v="52640"/>
    <m/>
    <n v="526"/>
    <s v="Tourism"/>
    <n v="250"/>
    <x v="1"/>
    <n v="319"/>
    <x v="34"/>
    <n v="1000"/>
  </r>
  <r>
    <n v="30"/>
    <x v="2"/>
    <n v="526"/>
    <s v="Tourism"/>
    <s v="52640"/>
    <m/>
    <n v="526"/>
    <s v="Tourism"/>
    <n v="250"/>
    <x v="1"/>
    <n v="335"/>
    <x v="1"/>
    <n v="1200"/>
  </r>
  <r>
    <n v="30"/>
    <x v="2"/>
    <n v="526"/>
    <s v="Tourism"/>
    <s v="52640"/>
    <m/>
    <n v="526"/>
    <s v="Tourism"/>
    <n v="250"/>
    <x v="1"/>
    <n v="358"/>
    <x v="2"/>
    <n v="2500"/>
  </r>
  <r>
    <n v="30"/>
    <x v="2"/>
    <n v="526"/>
    <s v="Tourism"/>
    <s v="52640"/>
    <m/>
    <n v="526"/>
    <s v="Tourism"/>
    <n v="272"/>
    <x v="7"/>
    <n v="380"/>
    <x v="23"/>
    <n v="2500"/>
  </r>
  <r>
    <n v="30"/>
    <x v="2"/>
    <n v="526"/>
    <s v="Tourism"/>
    <s v="52640"/>
    <m/>
    <n v="526"/>
    <s v="Tourism"/>
    <n v="278"/>
    <x v="1"/>
    <n v="353"/>
    <x v="3"/>
    <n v="2500"/>
  </r>
  <r>
    <n v="30"/>
    <x v="2"/>
    <n v="526"/>
    <s v="Tourism"/>
    <s v="52640"/>
    <m/>
    <n v="526"/>
    <s v="Tourism"/>
    <n v="900"/>
    <x v="3"/>
    <n v="905"/>
    <x v="27"/>
    <n v="2500"/>
  </r>
  <r>
    <n v="20"/>
    <x v="1"/>
    <n v="530"/>
    <s v="Commercial Buildings"/>
    <s v="53010"/>
    <s v="Property Leases - Income"/>
    <s v=""/>
    <m/>
    <n v="114"/>
    <x v="13"/>
    <n v="141"/>
    <x v="92"/>
    <n v="-200000"/>
  </r>
  <r>
    <n v="20"/>
    <x v="1"/>
    <n v="530"/>
    <s v="Commercial Buildings"/>
    <s v="53030"/>
    <m/>
    <n v="530"/>
    <s v="Property Leases"/>
    <n v="250"/>
    <x v="1"/>
    <n v="351"/>
    <x v="68"/>
    <n v="10000"/>
  </r>
  <r>
    <n v="20"/>
    <x v="1"/>
    <n v="530"/>
    <s v="Commercial Buildings"/>
    <s v="53030"/>
    <m/>
    <n v="530"/>
    <s v="Property Leases"/>
    <n v="272"/>
    <x v="7"/>
    <n v="380"/>
    <x v="23"/>
    <n v="25000"/>
  </r>
  <r>
    <n v="20"/>
    <x v="1"/>
    <n v="530"/>
    <s v="Commercial Buildings"/>
    <s v="53030"/>
    <m/>
    <n v="530"/>
    <s v="Property Leases"/>
    <n v="900"/>
    <x v="3"/>
    <n v="905"/>
    <x v="27"/>
    <n v="15000"/>
  </r>
  <r>
    <n v="30"/>
    <x v="2"/>
    <n v="650"/>
    <s v="Rangers, Fees For Services"/>
    <s v="65010"/>
    <s v="Ranger Services - Income"/>
    <s v=""/>
    <m/>
    <n v="110"/>
    <x v="4"/>
    <n v="113"/>
    <x v="91"/>
    <m/>
  </r>
  <r>
    <n v="30"/>
    <x v="2"/>
    <n v="650"/>
    <s v="Rangers, Fees For Services"/>
    <s v="65010"/>
    <s v="Ranger Services - Income"/>
    <s v=""/>
    <m/>
    <n v="113"/>
    <x v="11"/>
    <n v="194"/>
    <x v="93"/>
    <n v="-25000"/>
  </r>
  <r>
    <n v="30"/>
    <x v="2"/>
    <n v="650"/>
    <s v="Rangers, Fees For Services"/>
    <s v="65010"/>
    <s v="Ranger Services - Income"/>
    <s v=""/>
    <m/>
    <n v="123"/>
    <x v="0"/>
    <n v="186"/>
    <x v="77"/>
    <n v="-5000"/>
  </r>
  <r>
    <n v="30"/>
    <x v="2"/>
    <n v="650"/>
    <s v="Rangers, Fees For Services"/>
    <s v="65030"/>
    <m/>
    <n v="650"/>
    <s v="Rangers Fee For Service"/>
    <n v="250"/>
    <x v="1"/>
    <n v="335"/>
    <x v="1"/>
    <n v="1500"/>
  </r>
  <r>
    <n v="30"/>
    <x v="2"/>
    <n v="650"/>
    <s v="Rangers, Fees For Services"/>
    <s v="65030"/>
    <m/>
    <n v="650"/>
    <s v="Rangers Fee For Service"/>
    <n v="250"/>
    <x v="1"/>
    <n v="358"/>
    <x v="2"/>
    <n v="5000"/>
  </r>
  <r>
    <n v="30"/>
    <x v="2"/>
    <n v="650"/>
    <s v="Rangers, Fees For Services"/>
    <s v="65030"/>
    <m/>
    <n v="650"/>
    <s v="Rangers Fee For Service"/>
    <n v="250"/>
    <x v="1"/>
    <n v="364"/>
    <x v="21"/>
    <n v="2500"/>
  </r>
  <r>
    <n v="30"/>
    <x v="2"/>
    <n v="650"/>
    <s v="Rangers, Fees For Services"/>
    <s v="65030"/>
    <m/>
    <n v="650"/>
    <s v="Rangers Fee For Service"/>
    <n v="250"/>
    <x v="1"/>
    <n v="371"/>
    <x v="43"/>
    <n v="1500"/>
  </r>
  <r>
    <n v="30"/>
    <x v="2"/>
    <n v="650"/>
    <s v="Rangers, Fees For Services"/>
    <s v="65030"/>
    <m/>
    <n v="650"/>
    <s v="Rangers Fee For Service"/>
    <n v="275"/>
    <x v="1"/>
    <n v="373"/>
    <x v="11"/>
    <n v="2000"/>
  </r>
  <r>
    <n v="30"/>
    <x v="2"/>
    <n v="650"/>
    <s v="Rangers, Fees For Services"/>
    <s v="65030"/>
    <m/>
    <n v="650"/>
    <s v="Rangers Fee For Service"/>
    <n v="278"/>
    <x v="9"/>
    <n v="396"/>
    <x v="78"/>
    <n v="2500"/>
  </r>
  <r>
    <n v="30"/>
    <x v="2"/>
    <n v="650"/>
    <s v="Rangers, Fees For Services"/>
    <s v="65030"/>
    <m/>
    <n v="650"/>
    <s v="Rangers Fee For Service"/>
    <n v="810"/>
    <x v="10"/>
    <n v="810"/>
    <x v="65"/>
    <n v="25000"/>
  </r>
  <r>
    <n v="30"/>
    <x v="2"/>
    <n v="650"/>
    <s v="Rangers, Fees For Services"/>
    <s v="65030"/>
    <m/>
    <n v="650"/>
    <s v="Rangers Fee For Service"/>
    <n v="900"/>
    <x v="3"/>
    <n v="910"/>
    <x v="12"/>
    <n v="-52129.5"/>
  </r>
  <r>
    <n v="30"/>
    <x v="2"/>
    <n v="650"/>
    <s v="Rangers, Fees For Services"/>
    <s v="65030"/>
    <m/>
    <n v="650"/>
    <s v="Rangers Fee For Service"/>
    <n v="900"/>
    <x v="3"/>
    <n v="912"/>
    <x v="94"/>
    <n v="-17500"/>
  </r>
  <r>
    <n v="30"/>
    <x v="2"/>
    <n v="652"/>
    <s v="Rangers Wild River Rangers"/>
    <s v="65210"/>
    <s v="QILSR - Income"/>
    <s v=""/>
    <m/>
    <n v="124"/>
    <x v="0"/>
    <n v="181"/>
    <x v="0"/>
    <n v="-695060"/>
  </r>
  <r>
    <n v="30"/>
    <x v="2"/>
    <n v="652"/>
    <s v="Rangers Wild River Rangers"/>
    <s v="65230"/>
    <m/>
    <n v="652"/>
    <s v="Wild River Ranges - Wages Only"/>
    <n v="201"/>
    <x v="2"/>
    <n v="210"/>
    <x v="5"/>
    <n v="388270"/>
  </r>
  <r>
    <n v="30"/>
    <x v="2"/>
    <n v="652"/>
    <s v="Rangers Wild River Rangers"/>
    <s v="65230"/>
    <m/>
    <n v="652"/>
    <s v="Wild River Ranges - Wages Only"/>
    <n v="204"/>
    <x v="2"/>
    <n v="240"/>
    <x v="6"/>
    <n v="46592.4"/>
  </r>
  <r>
    <n v="30"/>
    <x v="2"/>
    <n v="652"/>
    <s v="Rangers Wild River Rangers"/>
    <s v="65230"/>
    <m/>
    <n v="652"/>
    <s v="Wild River Ranges - Wages Only"/>
    <n v="205"/>
    <x v="2"/>
    <n v="250"/>
    <x v="41"/>
    <n v="4000"/>
  </r>
  <r>
    <n v="30"/>
    <x v="2"/>
    <n v="652"/>
    <s v="Rangers Wild River Rangers"/>
    <s v="65230"/>
    <m/>
    <n v="652"/>
    <s v="Wild River Ranges - Wages Only"/>
    <n v="205"/>
    <x v="2"/>
    <n v="256"/>
    <x v="7"/>
    <n v="6522.9359999999997"/>
  </r>
  <r>
    <n v="30"/>
    <x v="2"/>
    <n v="652"/>
    <s v="Rangers Wild River Rangers"/>
    <s v="65230"/>
    <m/>
    <n v="652"/>
    <s v="Wild River Ranges - Wages Only"/>
    <n v="278"/>
    <x v="1"/>
    <n v="353"/>
    <x v="3"/>
    <n v="48269"/>
  </r>
  <r>
    <n v="30"/>
    <x v="2"/>
    <n v="652"/>
    <s v="Rangers Wild River Rangers"/>
    <s v="65230"/>
    <s v="QIL&amp;SR Motor Vehicle"/>
    <s v=""/>
    <m/>
    <n v="810"/>
    <x v="10"/>
    <n v="810"/>
    <x v="65"/>
    <n v="19900"/>
  </r>
  <r>
    <n v="30"/>
    <x v="2"/>
    <n v="652"/>
    <s v="Rangers Wild River Rangers"/>
    <s v="65230"/>
    <m/>
    <s v="6522A"/>
    <s v="Qilsr - Travel"/>
    <n v="205"/>
    <x v="2"/>
    <n v="252"/>
    <x v="38"/>
    <n v="20000"/>
  </r>
  <r>
    <n v="30"/>
    <x v="2"/>
    <n v="652"/>
    <s v="Rangers Wild River Rangers"/>
    <n v="65230"/>
    <m/>
    <m/>
    <m/>
    <m/>
    <x v="1"/>
    <n v="371"/>
    <x v="43"/>
    <n v="5000"/>
  </r>
  <r>
    <n v="30"/>
    <x v="2"/>
    <n v="652"/>
    <s v="Rangers Wild River Rangers"/>
    <n v="65230"/>
    <m/>
    <m/>
    <m/>
    <m/>
    <x v="1"/>
    <n v="366"/>
    <x v="22"/>
    <n v="3000"/>
  </r>
  <r>
    <n v="30"/>
    <x v="2"/>
    <n v="652"/>
    <s v="Rangers Wild River Rangers"/>
    <s v="65230"/>
    <m/>
    <s v="6522A"/>
    <s v="Qilsr - Travel"/>
    <n v="205"/>
    <x v="2"/>
    <n v="253"/>
    <x v="17"/>
    <n v="10000"/>
  </r>
  <r>
    <n v="30"/>
    <x v="2"/>
    <n v="652"/>
    <s v="Rangers Wild River Rangers"/>
    <s v="65230"/>
    <m/>
    <m/>
    <m/>
    <m/>
    <x v="8"/>
    <n v="394"/>
    <x v="30"/>
    <n v="2000"/>
  </r>
  <r>
    <n v="30"/>
    <x v="2"/>
    <n v="652"/>
    <s v="Rangers Wild River Rangers"/>
    <s v="65230"/>
    <m/>
    <m/>
    <m/>
    <m/>
    <x v="8"/>
    <n v="389"/>
    <x v="95"/>
    <n v="2500"/>
  </r>
  <r>
    <n v="30"/>
    <x v="2"/>
    <n v="652"/>
    <s v="Rangers Wild River Rangers"/>
    <s v="65230"/>
    <m/>
    <m/>
    <m/>
    <m/>
    <x v="8"/>
    <n v="392"/>
    <x v="54"/>
    <n v="2000"/>
  </r>
  <r>
    <n v="30"/>
    <x v="2"/>
    <n v="652"/>
    <s v="Rangers Wild River Rangers"/>
    <s v="65230"/>
    <m/>
    <m/>
    <m/>
    <m/>
    <x v="8"/>
    <n v="395"/>
    <x v="96"/>
    <n v="8500"/>
  </r>
  <r>
    <n v="30"/>
    <x v="2"/>
    <n v="652"/>
    <s v="Rangers Wild River Rangers"/>
    <s v="65230"/>
    <m/>
    <m/>
    <m/>
    <m/>
    <x v="1"/>
    <n v="333"/>
    <x v="35"/>
    <n v="8500"/>
  </r>
  <r>
    <n v="30"/>
    <x v="2"/>
    <n v="652"/>
    <s v="Rangers Wild River Rangers"/>
    <s v="65230"/>
    <m/>
    <m/>
    <m/>
    <m/>
    <x v="1"/>
    <n v="350"/>
    <x v="9"/>
    <n v="3500"/>
  </r>
  <r>
    <n v="30"/>
    <x v="2"/>
    <n v="652"/>
    <s v="Rangers Wild River Rangers"/>
    <s v="65230"/>
    <m/>
    <s v="6523A"/>
    <s v="Domestic &amp; Feral Animal Management"/>
    <n v="250"/>
    <x v="1"/>
    <n v="335"/>
    <x v="1"/>
    <n v="2500"/>
  </r>
  <r>
    <n v="30"/>
    <x v="2"/>
    <n v="652"/>
    <s v="Rangers Wild River Rangers"/>
    <s v="65230"/>
    <m/>
    <s v="6523A"/>
    <s v="Domestic &amp; Feral Animal Management"/>
    <n v="250"/>
    <x v="1"/>
    <n v="339"/>
    <x v="89"/>
    <n v="1000"/>
  </r>
  <r>
    <n v="30"/>
    <x v="2"/>
    <n v="652"/>
    <s v="Rangers Wild River Rangers"/>
    <s v="65230"/>
    <m/>
    <s v="6523A"/>
    <s v="Domestic &amp; Feral Animal Management"/>
    <n v="250"/>
    <x v="1"/>
    <n v="358"/>
    <x v="2"/>
    <n v="5000"/>
  </r>
  <r>
    <n v="30"/>
    <x v="2"/>
    <n v="652"/>
    <s v="Rangers Wild River Rangers"/>
    <s v="65230"/>
    <m/>
    <s v="6523A"/>
    <s v="Domestic &amp; Feral Animal Management"/>
    <n v="250"/>
    <x v="1"/>
    <n v="367"/>
    <x v="37"/>
    <n v="2500"/>
  </r>
  <r>
    <n v="30"/>
    <x v="2"/>
    <n v="652"/>
    <s v="Rangers Wild River Rangers"/>
    <s v="65230"/>
    <m/>
    <s v="6523A"/>
    <s v="Domestic &amp; Feral Animal Management"/>
    <n v="255"/>
    <x v="1"/>
    <n v="325"/>
    <x v="97"/>
    <n v="9500"/>
  </r>
  <r>
    <n v="30"/>
    <x v="2"/>
    <n v="652"/>
    <s v="Rangers Wild River Rangers"/>
    <s v="65230"/>
    <m/>
    <s v="6523B"/>
    <s v="Personal Protective Equipment &amp; Uniforms"/>
    <n v="205"/>
    <x v="2"/>
    <n v="255"/>
    <x v="18"/>
    <n v="5000"/>
  </r>
  <r>
    <n v="30"/>
    <x v="2"/>
    <n v="652"/>
    <s v="Rangers Wild River Rangers"/>
    <n v="65230"/>
    <m/>
    <m/>
    <m/>
    <m/>
    <x v="8"/>
    <n v="390"/>
    <x v="98"/>
    <n v="1500"/>
  </r>
  <r>
    <n v="30"/>
    <x v="2"/>
    <n v="652"/>
    <s v="Rangers Wild River Rangers"/>
    <s v="65230"/>
    <m/>
    <s v="6527A"/>
    <s v="Grants Administration 10%"/>
    <n v="900"/>
    <x v="3"/>
    <n v="910"/>
    <x v="12"/>
    <n v="69506"/>
  </r>
  <r>
    <n v="30"/>
    <x v="2"/>
    <n v="652"/>
    <s v="Rangers Wild River Rangers"/>
    <s v="65230"/>
    <m/>
    <m/>
    <m/>
    <m/>
    <x v="3"/>
    <n v="904"/>
    <x v="40"/>
    <n v="20000"/>
  </r>
  <r>
    <n v="30"/>
    <x v="2"/>
    <n v="661"/>
    <s v="Nest to Ocean"/>
    <s v="66110"/>
    <s v="Nest to Ocean (Round 1) Income (Cape York NRM)"/>
    <s v=""/>
    <m/>
    <n v="124"/>
    <x v="0"/>
    <n v="181"/>
    <x v="0"/>
    <n v="-51000"/>
  </r>
  <r>
    <n v="30"/>
    <x v="2"/>
    <n v="661"/>
    <s v="Nest to Ocean"/>
    <s v="66140"/>
    <m/>
    <n v="661"/>
    <s v="Nest To Ocean (Cape York Nrm)"/>
    <n v="255"/>
    <x v="1"/>
    <n v="325"/>
    <x v="97"/>
    <n v="20000"/>
  </r>
  <r>
    <n v="30"/>
    <x v="2"/>
    <n v="661"/>
    <s v="Nest to Ocean"/>
    <s v="66140"/>
    <m/>
    <n v="661"/>
    <s v="Nest To Ocean (Cape York Nrm)"/>
    <n v="268"/>
    <x v="8"/>
    <n v="395"/>
    <x v="31"/>
    <n v="2500"/>
  </r>
  <r>
    <n v="30"/>
    <x v="2"/>
    <n v="661"/>
    <s v="Nest to Ocean"/>
    <s v="66140"/>
    <m/>
    <n v="661"/>
    <s v="Nest To Ocean (Cape York Nrm)"/>
    <n v="278"/>
    <x v="1"/>
    <n v="353"/>
    <x v="3"/>
    <n v="26000"/>
  </r>
  <r>
    <n v="30"/>
    <x v="2"/>
    <n v="661"/>
    <s v="Nest to Ocean"/>
    <n v="66140"/>
    <m/>
    <n v="661"/>
    <s v="Nest To Ocean (Cape York Nrm)"/>
    <m/>
    <x v="1"/>
    <n v="373"/>
    <x v="11"/>
    <n v="2500"/>
  </r>
  <r>
    <n v="30"/>
    <x v="2"/>
    <n v="670"/>
    <s v="Savannah Carbon"/>
    <n v="67010"/>
    <m/>
    <n v="670"/>
    <s v="Savannah Carbon Expenses"/>
    <m/>
    <x v="11"/>
    <n v="187"/>
    <x v="99"/>
    <n v="-100000"/>
  </r>
  <r>
    <n v="30"/>
    <x v="2"/>
    <n v="670"/>
    <s v="Savannah Carbon"/>
    <s v="67030"/>
    <m/>
    <n v="670"/>
    <s v="Savannah Carbon Expenses"/>
    <n v="250"/>
    <x v="1"/>
    <n v="317"/>
    <x v="8"/>
    <n v="800"/>
  </r>
  <r>
    <n v="30"/>
    <x v="2"/>
    <n v="670"/>
    <s v="Savannah Carbon"/>
    <s v="67030"/>
    <m/>
    <n v="670"/>
    <s v="Savannah Carbon Expenses"/>
    <n v="250"/>
    <x v="1"/>
    <n v="335"/>
    <x v="1"/>
    <n v="500"/>
  </r>
  <r>
    <n v="30"/>
    <x v="2"/>
    <n v="670"/>
    <s v="Savannah Carbon"/>
    <s v="67030"/>
    <m/>
    <n v="670"/>
    <s v="Savannah Carbon Expenses"/>
    <n v="250"/>
    <x v="1"/>
    <n v="351"/>
    <x v="68"/>
    <n v="3000"/>
  </r>
  <r>
    <n v="30"/>
    <x v="2"/>
    <n v="670"/>
    <s v="Savannah Carbon"/>
    <s v="67030"/>
    <m/>
    <n v="670"/>
    <s v="Savannah Carbon Expenses"/>
    <n v="254"/>
    <x v="1"/>
    <n v="323"/>
    <x v="46"/>
    <n v="30000"/>
  </r>
  <r>
    <n v="30"/>
    <x v="2"/>
    <n v="670"/>
    <s v="Savannah Carbon"/>
    <s v="67030"/>
    <m/>
    <n v="670"/>
    <s v="Savannah Carbon Expenses"/>
    <n v="255"/>
    <x v="1"/>
    <n v="325"/>
    <x v="97"/>
    <n v="15000"/>
  </r>
  <r>
    <n v="30"/>
    <x v="2"/>
    <n v="670"/>
    <s v="Savannah Carbon"/>
    <s v="67030"/>
    <m/>
    <n v="670"/>
    <s v="Savannah Carbon Expenses"/>
    <n v="278"/>
    <x v="1"/>
    <n v="353"/>
    <x v="3"/>
    <n v="1500"/>
  </r>
  <r>
    <n v="30"/>
    <x v="2"/>
    <n v="670"/>
    <s v="Savannah Carbon"/>
    <n v="67030"/>
    <m/>
    <n v="670"/>
    <s v="Savannah Carbon Expenses"/>
    <n v="810"/>
    <x v="10"/>
    <n v="810"/>
    <x v="65"/>
    <n v="27000"/>
  </r>
  <r>
    <n v="30"/>
    <x v="2"/>
    <n v="670"/>
    <s v="Savannah Carbon"/>
    <s v="67030"/>
    <m/>
    <n v="670"/>
    <s v="Savannah Carbon Expenses"/>
    <n v="900"/>
    <x v="3"/>
    <n v="910"/>
    <x v="12"/>
    <n v="15000"/>
  </r>
  <r>
    <n v="50"/>
    <x v="4"/>
    <n v="700"/>
    <s v="Staff Housing"/>
    <s v="70010"/>
    <m/>
    <n v="700"/>
    <s v="Staff Housing"/>
    <n v="114"/>
    <x v="13"/>
    <n v="143"/>
    <x v="100"/>
    <n v="-160000"/>
  </r>
  <r>
    <n v="50"/>
    <x v="4"/>
    <n v="700"/>
    <s v="Staff Housing"/>
    <s v="70040"/>
    <m/>
    <n v="700"/>
    <s v="Staff Housing"/>
    <n v="272"/>
    <x v="7"/>
    <n v="380"/>
    <x v="23"/>
    <n v="30000"/>
  </r>
  <r>
    <n v="50"/>
    <x v="4"/>
    <n v="700"/>
    <s v="Staff Housing"/>
    <s v="70040"/>
    <m/>
    <n v="700"/>
    <s v="Staff Housing"/>
    <n v="278"/>
    <x v="1"/>
    <n v="353"/>
    <x v="3"/>
    <n v="15000"/>
  </r>
  <r>
    <n v="50"/>
    <x v="4"/>
    <n v="700"/>
    <s v="Staff Housing"/>
    <s v="70040"/>
    <m/>
    <n v="700"/>
    <s v="Staff Housing"/>
    <n v="278"/>
    <x v="1"/>
    <n v="356"/>
    <x v="39"/>
    <n v="1200"/>
  </r>
  <r>
    <n v="50"/>
    <x v="4"/>
    <n v="700"/>
    <s v="Staff Housing"/>
    <s v="70040"/>
    <m/>
    <n v="700"/>
    <s v="Staff Housing"/>
    <n v="900"/>
    <x v="3"/>
    <n v="901"/>
    <x v="25"/>
    <n v="160"/>
  </r>
  <r>
    <n v="50"/>
    <x v="4"/>
    <n v="700"/>
    <s v="Staff Housing"/>
    <s v="70040"/>
    <m/>
    <n v="700"/>
    <s v="Staff Housing"/>
    <n v="900"/>
    <x v="3"/>
    <n v="902"/>
    <x v="83"/>
    <n v="1000"/>
  </r>
  <r>
    <n v="50"/>
    <x v="4"/>
    <n v="700"/>
    <s v="Staff Housing"/>
    <s v="70040"/>
    <m/>
    <n v="700"/>
    <s v="Staff Housing"/>
    <n v="900"/>
    <x v="3"/>
    <n v="905"/>
    <x v="27"/>
    <n v="35000"/>
  </r>
  <r>
    <n v="50"/>
    <x v="4"/>
    <n v="700"/>
    <s v="Staff Housing"/>
    <s v="70040"/>
    <m/>
    <n v="700"/>
    <s v="Staff Housing"/>
    <n v="900"/>
    <x v="3"/>
    <n v="912"/>
    <x v="94"/>
    <n v="2500"/>
  </r>
  <r>
    <n v="50"/>
    <x v="4"/>
    <n v="710"/>
    <s v="Housing  - R&amp;M"/>
    <s v="71010"/>
    <m/>
    <m/>
    <m/>
    <n v="116"/>
    <x v="5"/>
    <n v="152"/>
    <x v="101"/>
    <n v="-2971380"/>
  </r>
  <r>
    <n v="50"/>
    <x v="4"/>
    <n v="710"/>
    <s v="Housing  - R&amp;M"/>
    <n v="71030"/>
    <m/>
    <m/>
    <m/>
    <n v="201"/>
    <x v="2"/>
    <n v="210"/>
    <x v="5"/>
    <n v="329736"/>
  </r>
  <r>
    <n v="50"/>
    <x v="4"/>
    <n v="710"/>
    <s v="Housing  - R&amp;M"/>
    <s v="71030"/>
    <m/>
    <m/>
    <m/>
    <n v="204"/>
    <x v="2"/>
    <n v="240"/>
    <x v="6"/>
    <n v="39568.32"/>
  </r>
  <r>
    <n v="50"/>
    <x v="4"/>
    <n v="710"/>
    <s v="Housing  - R&amp;M"/>
    <n v="71030"/>
    <m/>
    <m/>
    <m/>
    <n v="205"/>
    <x v="2"/>
    <n v="250"/>
    <x v="41"/>
    <n v="6000"/>
  </r>
  <r>
    <n v="50"/>
    <x v="4"/>
    <n v="710"/>
    <s v="Housing  - R&amp;M"/>
    <n v="71030"/>
    <m/>
    <m/>
    <m/>
    <m/>
    <x v="2"/>
    <n v="252"/>
    <x v="38"/>
    <n v="5000"/>
  </r>
  <r>
    <n v="50"/>
    <x v="4"/>
    <n v="710"/>
    <s v="Housing  - R&amp;M"/>
    <s v="71030"/>
    <m/>
    <m/>
    <m/>
    <n v="205"/>
    <x v="2"/>
    <n v="253"/>
    <x v="17"/>
    <n v="5000"/>
  </r>
  <r>
    <n v="50"/>
    <x v="4"/>
    <n v="710"/>
    <s v="Housing  - R&amp;M"/>
    <s v="71030"/>
    <m/>
    <m/>
    <m/>
    <n v="205"/>
    <x v="2"/>
    <n v="254"/>
    <x v="56"/>
    <n v="2000"/>
  </r>
  <r>
    <n v="50"/>
    <x v="4"/>
    <n v="710"/>
    <s v="Housing  - R&amp;M"/>
    <s v="71030"/>
    <m/>
    <m/>
    <m/>
    <n v="205"/>
    <x v="2"/>
    <n v="255"/>
    <x v="18"/>
    <n v="2500"/>
  </r>
  <r>
    <n v="50"/>
    <x v="4"/>
    <n v="710"/>
    <s v="Housing  - R&amp;M"/>
    <n v="71030"/>
    <m/>
    <m/>
    <m/>
    <m/>
    <x v="2"/>
    <n v="256"/>
    <x v="7"/>
    <n v="5539.5648000000001"/>
  </r>
  <r>
    <n v="50"/>
    <x v="4"/>
    <n v="710"/>
    <s v="Housing  - R&amp;M"/>
    <s v="71030"/>
    <m/>
    <m/>
    <m/>
    <n v="250"/>
    <x v="1"/>
    <n v="319"/>
    <x v="34"/>
    <n v="500"/>
  </r>
  <r>
    <n v="50"/>
    <x v="4"/>
    <n v="710"/>
    <s v="Housing  - R&amp;M"/>
    <s v="71030"/>
    <m/>
    <m/>
    <m/>
    <n v="255"/>
    <x v="1"/>
    <n v="325"/>
    <x v="97"/>
    <n v="62400"/>
  </r>
  <r>
    <n v="50"/>
    <x v="4"/>
    <n v="710"/>
    <s v="Housing  - R&amp;M"/>
    <s v="71030"/>
    <m/>
    <m/>
    <m/>
    <n v="270"/>
    <x v="1"/>
    <n v="333"/>
    <x v="35"/>
    <n v="10000"/>
  </r>
  <r>
    <n v="50"/>
    <x v="4"/>
    <n v="710"/>
    <s v="Housing  - R&amp;M"/>
    <s v="71030"/>
    <m/>
    <m/>
    <m/>
    <n v="250"/>
    <x v="1"/>
    <n v="335"/>
    <x v="1"/>
    <n v="50000"/>
  </r>
  <r>
    <n v="50"/>
    <x v="4"/>
    <n v="710"/>
    <s v="Housing  - R&amp;M"/>
    <s v="71030"/>
    <m/>
    <m/>
    <m/>
    <n v="250"/>
    <x v="1"/>
    <n v="339"/>
    <x v="89"/>
    <n v="1500"/>
  </r>
  <r>
    <n v="50"/>
    <x v="4"/>
    <n v="710"/>
    <s v="Housing  - R&amp;M"/>
    <s v="71030"/>
    <m/>
    <m/>
    <m/>
    <n v="250"/>
    <x v="1"/>
    <n v="350"/>
    <x v="9"/>
    <n v="5000"/>
  </r>
  <r>
    <n v="50"/>
    <x v="4"/>
    <n v="710"/>
    <s v="Housing  - R&amp;M"/>
    <s v="71030"/>
    <m/>
    <m/>
    <m/>
    <n v="278"/>
    <x v="1"/>
    <n v="353"/>
    <x v="3"/>
    <n v="150000"/>
  </r>
  <r>
    <n v="50"/>
    <x v="4"/>
    <n v="710"/>
    <s v="Housing  - R&amp;M"/>
    <s v="71030"/>
    <m/>
    <m/>
    <m/>
    <n v="278"/>
    <x v="1"/>
    <n v="356"/>
    <x v="39"/>
    <n v="25000"/>
  </r>
  <r>
    <n v="50"/>
    <x v="4"/>
    <n v="710"/>
    <s v="Housing  - R&amp;M"/>
    <s v="71030"/>
    <m/>
    <m/>
    <m/>
    <n v="250"/>
    <x v="1"/>
    <n v="358"/>
    <x v="2"/>
    <n v="20000"/>
  </r>
  <r>
    <n v="50"/>
    <x v="4"/>
    <n v="710"/>
    <s v="Housing  - R&amp;M"/>
    <s v="71030"/>
    <m/>
    <m/>
    <m/>
    <n v="250"/>
    <x v="1"/>
    <n v="366"/>
    <x v="22"/>
    <n v="10000"/>
  </r>
  <r>
    <n v="50"/>
    <x v="4"/>
    <n v="710"/>
    <s v="Housing  - R&amp;M"/>
    <s v="71030"/>
    <m/>
    <m/>
    <m/>
    <n v="250"/>
    <x v="1"/>
    <n v="369"/>
    <x v="10"/>
    <n v="5000"/>
  </r>
  <r>
    <n v="50"/>
    <x v="4"/>
    <n v="710"/>
    <s v="Housing  - R&amp;M"/>
    <s v="71030"/>
    <m/>
    <m/>
    <m/>
    <n v="250"/>
    <x v="1"/>
    <n v="371"/>
    <x v="43"/>
    <n v="10000"/>
  </r>
  <r>
    <n v="50"/>
    <x v="4"/>
    <n v="710"/>
    <s v="Housing  - R&amp;M"/>
    <s v="71030"/>
    <m/>
    <m/>
    <m/>
    <n v="272"/>
    <x v="7"/>
    <n v="378"/>
    <x v="102"/>
    <n v="1782828"/>
  </r>
  <r>
    <n v="50"/>
    <x v="4"/>
    <n v="710"/>
    <s v="Housing  - R&amp;M"/>
    <s v="71030"/>
    <m/>
    <m/>
    <m/>
    <n v="272"/>
    <x v="7"/>
    <n v="380"/>
    <x v="23"/>
    <n v="4000"/>
  </r>
  <r>
    <n v="50"/>
    <x v="4"/>
    <n v="710"/>
    <s v="Housing  - R&amp;M"/>
    <s v="71030"/>
    <m/>
    <m/>
    <m/>
    <n v="272"/>
    <x v="7"/>
    <n v="382"/>
    <x v="24"/>
    <n v="5000"/>
  </r>
  <r>
    <n v="50"/>
    <x v="4"/>
    <n v="710"/>
    <s v="Housing  - R&amp;M"/>
    <n v="71030"/>
    <m/>
    <m/>
    <m/>
    <n v="268"/>
    <x v="8"/>
    <n v="394"/>
    <x v="30"/>
    <n v="3500"/>
  </r>
  <r>
    <n v="50"/>
    <x v="4"/>
    <n v="710"/>
    <s v="Housing  - R&amp;M"/>
    <s v="71030"/>
    <m/>
    <m/>
    <m/>
    <n v="810"/>
    <x v="10"/>
    <n v="810"/>
    <x v="65"/>
    <n v="25000"/>
  </r>
  <r>
    <n v="50"/>
    <x v="4"/>
    <n v="710"/>
    <s v="Housing  - R&amp;M"/>
    <n v="71030"/>
    <m/>
    <m/>
    <m/>
    <m/>
    <x v="3"/>
    <n v="904"/>
    <x v="40"/>
    <n v="25000"/>
  </r>
  <r>
    <n v="50"/>
    <x v="4"/>
    <n v="710"/>
    <s v="Housing  - R&amp;M"/>
    <n v="71030"/>
    <m/>
    <m/>
    <m/>
    <m/>
    <x v="3"/>
    <n v="905"/>
    <x v="27"/>
    <n v="-83000"/>
  </r>
  <r>
    <n v="50"/>
    <x v="4"/>
    <n v="710"/>
    <s v="Housing  - R&amp;M"/>
    <n v="71030"/>
    <m/>
    <m/>
    <m/>
    <m/>
    <x v="3"/>
    <n v="906"/>
    <x v="32"/>
    <n v="7500"/>
  </r>
  <r>
    <n v="50"/>
    <x v="4"/>
    <n v="710"/>
    <s v="Housing  - R&amp;M"/>
    <n v="71030"/>
    <m/>
    <m/>
    <m/>
    <m/>
    <x v="3"/>
    <n v="908"/>
    <x v="49"/>
    <n v="20000"/>
  </r>
  <r>
    <n v="50"/>
    <x v="4"/>
    <n v="710"/>
    <s v="Housing  - R&amp;M"/>
    <n v="71030"/>
    <m/>
    <n v="710"/>
    <m/>
    <n v="900"/>
    <x v="3"/>
    <n v="912"/>
    <x v="94"/>
    <n v="15000"/>
  </r>
  <r>
    <n v="50"/>
    <x v="4"/>
    <n v="712"/>
    <s v="Housing - Tenancy"/>
    <s v="71210"/>
    <s v="Housing Tenancy - Income"/>
    <s v=""/>
    <m/>
    <n v="114"/>
    <x v="13"/>
    <n v="142"/>
    <x v="103"/>
    <n v="-340000"/>
  </r>
  <r>
    <n v="50"/>
    <x v="4"/>
    <n v="712"/>
    <s v="Housing - Tenancy"/>
    <s v="71230"/>
    <m/>
    <n v="712"/>
    <s v="Housing Tenancy"/>
    <n v="201"/>
    <x v="2"/>
    <n v="210"/>
    <x v="5"/>
    <n v="109150"/>
  </r>
  <r>
    <n v="50"/>
    <x v="4"/>
    <n v="712"/>
    <s v="Housing - Tenancy"/>
    <s v="71230"/>
    <m/>
    <n v="712"/>
    <s v="Housing Tenancy"/>
    <n v="204"/>
    <x v="2"/>
    <n v="240"/>
    <x v="6"/>
    <n v="13098"/>
  </r>
  <r>
    <n v="50"/>
    <x v="4"/>
    <n v="712"/>
    <s v="Housing - Tenancy"/>
    <s v="71230"/>
    <m/>
    <n v="712"/>
    <s v="Housing Tenancy"/>
    <n v="205"/>
    <x v="2"/>
    <n v="252"/>
    <x v="38"/>
    <n v="1000"/>
  </r>
  <r>
    <n v="50"/>
    <x v="4"/>
    <n v="712"/>
    <s v="Housing - Tenancy"/>
    <s v="71230"/>
    <m/>
    <n v="712"/>
    <s v="Housing Tenancy"/>
    <n v="205"/>
    <x v="2"/>
    <n v="255"/>
    <x v="18"/>
    <n v="500"/>
  </r>
  <r>
    <n v="50"/>
    <x v="4"/>
    <n v="712"/>
    <s v="Housing - Tenancy"/>
    <s v="71230"/>
    <m/>
    <n v="712"/>
    <s v="Housing Tenancy"/>
    <n v="205"/>
    <x v="2"/>
    <n v="256"/>
    <x v="7"/>
    <n v="1833.72"/>
  </r>
  <r>
    <n v="50"/>
    <x v="4"/>
    <n v="712"/>
    <s v="Housing - Tenancy"/>
    <s v="71230"/>
    <m/>
    <n v="712"/>
    <s v="Housing Tenancy"/>
    <n v="250"/>
    <x v="1"/>
    <n v="335"/>
    <x v="1"/>
    <n v="500"/>
  </r>
  <r>
    <n v="50"/>
    <x v="4"/>
    <n v="712"/>
    <s v="Housing - Tenancy"/>
    <n v="71230"/>
    <m/>
    <n v="712"/>
    <s v="Housing Tenancy"/>
    <n v="264"/>
    <x v="1"/>
    <n v="347"/>
    <x v="67"/>
    <n v="100000"/>
  </r>
  <r>
    <n v="50"/>
    <x v="4"/>
    <n v="712"/>
    <s v="Housing - Tenancy"/>
    <s v="71230"/>
    <m/>
    <n v="712"/>
    <s v="Housing Tenancy"/>
    <n v="250"/>
    <x v="1"/>
    <n v="350"/>
    <x v="9"/>
    <n v="2000"/>
  </r>
  <r>
    <n v="50"/>
    <x v="4"/>
    <n v="712"/>
    <s v="Housing - Tenancy"/>
    <s v="71230"/>
    <m/>
    <n v="712"/>
    <s v="Housing Tenancy"/>
    <n v="250"/>
    <x v="1"/>
    <n v="369"/>
    <x v="10"/>
    <n v="2000"/>
  </r>
  <r>
    <n v="50"/>
    <x v="4"/>
    <n v="712"/>
    <s v="Housing - Tenancy"/>
    <s v="71230"/>
    <m/>
    <n v="712"/>
    <s v="Housing Tenancy"/>
    <n v="268"/>
    <x v="8"/>
    <n v="394"/>
    <x v="30"/>
    <n v="500"/>
  </r>
  <r>
    <n v="50"/>
    <x v="4"/>
    <n v="712"/>
    <s v="Housing - Tenancy"/>
    <s v="71230"/>
    <m/>
    <n v="712"/>
    <s v="Housing Tenancy"/>
    <n v="272"/>
    <x v="7"/>
    <n v="380"/>
    <x v="23"/>
    <n v="2500"/>
  </r>
  <r>
    <n v="50"/>
    <x v="4"/>
    <n v="712"/>
    <s v="Housing - Tenancy"/>
    <s v="71230"/>
    <m/>
    <n v="712"/>
    <s v="Housing Tenancy"/>
    <n v="272"/>
    <x v="7"/>
    <n v="382"/>
    <x v="24"/>
    <n v="1000"/>
  </r>
  <r>
    <n v="50"/>
    <x v="4"/>
    <n v="712"/>
    <s v="Housing - Tenancy"/>
    <s v="71230"/>
    <m/>
    <n v="712"/>
    <s v="Housing Tenancy"/>
    <n v="900"/>
    <x v="3"/>
    <n v="904"/>
    <x v="40"/>
    <n v="4000"/>
  </r>
  <r>
    <n v="50"/>
    <x v="4"/>
    <n v="712"/>
    <s v="Housing - Tenancy"/>
    <s v="71230"/>
    <m/>
    <n v="712"/>
    <s v="Housing Tenancy"/>
    <n v="900"/>
    <x v="3"/>
    <n v="906"/>
    <x v="32"/>
    <n v="2000"/>
  </r>
  <r>
    <n v="40"/>
    <x v="3"/>
    <n v="714"/>
    <s v="Revenue Replacement Program"/>
    <s v="71410"/>
    <s v="Revenue Replacement Program"/>
    <s v=""/>
    <m/>
    <n v="124"/>
    <x v="0"/>
    <n v="181"/>
    <x v="0"/>
    <n v="-477000"/>
  </r>
  <r>
    <n v="40"/>
    <x v="3"/>
    <n v="714"/>
    <s v="Revenue Replacement Program"/>
    <s v="71430"/>
    <s v="Revenue Replacement Program Expenditure"/>
    <s v=""/>
    <m/>
    <n v="252"/>
    <x v="1"/>
    <n v="324"/>
    <x v="44"/>
    <n v="30000"/>
  </r>
  <r>
    <n v="40"/>
    <x v="3"/>
    <n v="714"/>
    <s v="Revenue Replacement Program"/>
    <s v="71430"/>
    <s v="Revenue Replacement Program Expenditure"/>
    <s v=""/>
    <m/>
    <n v="254"/>
    <x v="1"/>
    <n v="321"/>
    <x v="59"/>
    <n v="50000"/>
  </r>
  <r>
    <n v="40"/>
    <x v="3"/>
    <n v="714"/>
    <s v="Revenue Replacement Program"/>
    <s v="71430"/>
    <s v="Revenue Replacement Program Expenditure"/>
    <s v=""/>
    <m/>
    <n v="810"/>
    <x v="10"/>
    <n v="810"/>
    <x v="65"/>
    <n v="128000"/>
  </r>
  <r>
    <n v="40"/>
    <x v="3"/>
    <n v="714"/>
    <s v="Revenue Replacement Program"/>
    <s v="71430"/>
    <s v="Revenue Replacement Program Expenditure"/>
    <s v=""/>
    <m/>
    <n v="900"/>
    <x v="3"/>
    <n v="910"/>
    <x v="12"/>
    <n v="269000"/>
  </r>
  <r>
    <n v="20"/>
    <x v="1"/>
    <n v="740"/>
    <s v="Airport"/>
    <s v="74010"/>
    <s v="Airport / Airline Agency - Income"/>
    <s v=""/>
    <m/>
    <n v="112"/>
    <x v="4"/>
    <n v="122"/>
    <x v="104"/>
    <n v="-90000"/>
  </r>
  <r>
    <n v="20"/>
    <x v="1"/>
    <n v="740"/>
    <s v="Airport"/>
    <s v="74010"/>
    <s v="Airport / Airline Agency - Income"/>
    <s v=""/>
    <m/>
    <n v="112"/>
    <x v="4"/>
    <n v="126"/>
    <x v="105"/>
    <n v="-4000"/>
  </r>
  <r>
    <n v="20"/>
    <x v="1"/>
    <n v="740"/>
    <s v="Airport"/>
    <s v="74010"/>
    <s v="Airport / Airline Agency - Income"/>
    <s v=""/>
    <m/>
    <n v="112"/>
    <x v="4"/>
    <n v="130"/>
    <x v="106"/>
    <n v="-15000"/>
  </r>
  <r>
    <n v="20"/>
    <x v="1"/>
    <n v="740"/>
    <s v="Airport"/>
    <s v="74010"/>
    <s v="Airport / Airline Agency - Income"/>
    <s v=""/>
    <m/>
    <n v="122"/>
    <x v="4"/>
    <n v="127"/>
    <x v="82"/>
    <n v="-3500"/>
  </r>
  <r>
    <n v="20"/>
    <x v="1"/>
    <n v="740"/>
    <s v="Airport"/>
    <s v="74030"/>
    <m/>
    <n v="740"/>
    <s v="Airline Agency"/>
    <n v="201"/>
    <x v="2"/>
    <n v="210"/>
    <x v="5"/>
    <n v="112390"/>
  </r>
  <r>
    <n v="20"/>
    <x v="1"/>
    <n v="740"/>
    <s v="Airport"/>
    <s v="74030"/>
    <m/>
    <n v="740"/>
    <s v="Airline Agency"/>
    <n v="204"/>
    <x v="2"/>
    <n v="240"/>
    <x v="6"/>
    <n v="13486.8"/>
  </r>
  <r>
    <n v="20"/>
    <x v="1"/>
    <n v="740"/>
    <s v="Airport"/>
    <s v="74030"/>
    <m/>
    <n v="740"/>
    <s v="Airline Agency"/>
    <n v="205"/>
    <x v="2"/>
    <n v="250"/>
    <x v="41"/>
    <n v="4000"/>
  </r>
  <r>
    <n v="20"/>
    <x v="1"/>
    <n v="740"/>
    <s v="Airport"/>
    <s v="74030"/>
    <m/>
    <n v="740"/>
    <s v="Airline Agency"/>
    <n v="205"/>
    <x v="2"/>
    <n v="252"/>
    <x v="38"/>
    <n v="1000"/>
  </r>
  <r>
    <n v="20"/>
    <x v="1"/>
    <n v="740"/>
    <s v="Airport"/>
    <s v="74030"/>
    <m/>
    <n v="740"/>
    <s v="Airline Agency"/>
    <n v="205"/>
    <x v="2"/>
    <n v="255"/>
    <x v="18"/>
    <n v="700"/>
  </r>
  <r>
    <n v="20"/>
    <x v="1"/>
    <n v="740"/>
    <s v="Airport"/>
    <s v="74030"/>
    <m/>
    <n v="740"/>
    <s v="Airline Agency"/>
    <n v="205"/>
    <x v="2"/>
    <n v="256"/>
    <x v="7"/>
    <n v="1888.152"/>
  </r>
  <r>
    <n v="20"/>
    <x v="1"/>
    <n v="740"/>
    <s v="Airport"/>
    <s v="74030"/>
    <m/>
    <n v="740"/>
    <s v="Airline Agency"/>
    <n v="250"/>
    <x v="1"/>
    <n v="317"/>
    <x v="8"/>
    <n v="2800"/>
  </r>
  <r>
    <n v="20"/>
    <x v="1"/>
    <n v="740"/>
    <s v="Airport"/>
    <s v="74030"/>
    <m/>
    <n v="740"/>
    <s v="Airline Agency"/>
    <n v="250"/>
    <x v="1"/>
    <n v="319"/>
    <x v="34"/>
    <n v="500"/>
  </r>
  <r>
    <n v="20"/>
    <x v="1"/>
    <n v="740"/>
    <s v="Airport"/>
    <s v="74030"/>
    <m/>
    <n v="740"/>
    <s v="Airline Agency"/>
    <n v="250"/>
    <x v="1"/>
    <n v="335"/>
    <x v="1"/>
    <n v="1200"/>
  </r>
  <r>
    <n v="20"/>
    <x v="1"/>
    <n v="740"/>
    <s v="Airport"/>
    <s v="74030"/>
    <m/>
    <n v="740"/>
    <s v="Airline Agency"/>
    <n v="250"/>
    <x v="1"/>
    <n v="350"/>
    <x v="9"/>
    <n v="500"/>
  </r>
  <r>
    <n v="20"/>
    <x v="1"/>
    <n v="740"/>
    <s v="Airport"/>
    <s v="74030"/>
    <m/>
    <n v="740"/>
    <s v="Airline Agency"/>
    <n v="250"/>
    <x v="1"/>
    <n v="358"/>
    <x v="2"/>
    <n v="2000"/>
  </r>
  <r>
    <n v="20"/>
    <x v="1"/>
    <n v="740"/>
    <s v="Airport"/>
    <s v="74030"/>
    <m/>
    <n v="740"/>
    <s v="Airline Agency"/>
    <n v="250"/>
    <x v="1"/>
    <n v="366"/>
    <x v="22"/>
    <n v="5500"/>
  </r>
  <r>
    <n v="20"/>
    <x v="1"/>
    <n v="740"/>
    <s v="Airport"/>
    <s v="74030"/>
    <m/>
    <n v="740"/>
    <s v="Airline Agency"/>
    <n v="250"/>
    <x v="1"/>
    <n v="367"/>
    <x v="37"/>
    <n v="800"/>
  </r>
  <r>
    <n v="20"/>
    <x v="1"/>
    <n v="740"/>
    <s v="Airport"/>
    <s v="74030"/>
    <m/>
    <n v="740"/>
    <s v="Airline Agency"/>
    <n v="250"/>
    <x v="1"/>
    <n v="369"/>
    <x v="10"/>
    <n v="1200"/>
  </r>
  <r>
    <n v="20"/>
    <x v="1"/>
    <n v="740"/>
    <s v="Airport"/>
    <s v="74030"/>
    <m/>
    <n v="740"/>
    <s v="Airline Agency"/>
    <n v="268"/>
    <x v="8"/>
    <n v="394"/>
    <x v="30"/>
    <n v="1300"/>
  </r>
  <r>
    <n v="20"/>
    <x v="1"/>
    <n v="740"/>
    <s v="Airport"/>
    <s v="74030"/>
    <m/>
    <n v="740"/>
    <s v="Airline Agency"/>
    <n v="270"/>
    <x v="1"/>
    <n v="333"/>
    <x v="35"/>
    <n v="6000"/>
  </r>
  <r>
    <n v="20"/>
    <x v="1"/>
    <n v="740"/>
    <s v="Airport"/>
    <s v="74030"/>
    <m/>
    <n v="740"/>
    <s v="Airline Agency"/>
    <n v="272"/>
    <x v="7"/>
    <n v="380"/>
    <x v="23"/>
    <n v="1500"/>
  </r>
  <r>
    <n v="20"/>
    <x v="1"/>
    <n v="740"/>
    <s v="Airport"/>
    <s v="74030"/>
    <m/>
    <n v="740"/>
    <s v="Airline Agency"/>
    <n v="272"/>
    <x v="7"/>
    <n v="382"/>
    <x v="24"/>
    <n v="1500"/>
  </r>
  <r>
    <n v="20"/>
    <x v="1"/>
    <n v="740"/>
    <s v="Airport"/>
    <s v="74030"/>
    <m/>
    <n v="740"/>
    <s v="Airline Agency"/>
    <n v="278"/>
    <x v="1"/>
    <n v="353"/>
    <x v="3"/>
    <n v="1500"/>
  </r>
  <r>
    <n v="20"/>
    <x v="1"/>
    <n v="740"/>
    <s v="Airport"/>
    <s v="74030"/>
    <m/>
    <n v="740"/>
    <s v="Airline Agency"/>
    <n v="278"/>
    <x v="1"/>
    <n v="356"/>
    <x v="39"/>
    <n v="400"/>
  </r>
  <r>
    <n v="20"/>
    <x v="1"/>
    <n v="740"/>
    <s v="Airport"/>
    <n v="74030"/>
    <m/>
    <m/>
    <m/>
    <m/>
    <x v="10"/>
    <n v="810"/>
    <x v="65"/>
    <n v="25000"/>
  </r>
  <r>
    <n v="20"/>
    <x v="1"/>
    <n v="740"/>
    <s v="Airport"/>
    <s v="74030"/>
    <m/>
    <n v="740"/>
    <s v="Airline Agency"/>
    <n v="900"/>
    <x v="3"/>
    <n v="904"/>
    <x v="40"/>
    <n v="3000"/>
  </r>
  <r>
    <n v="20"/>
    <x v="1"/>
    <n v="740"/>
    <s v="Airport"/>
    <s v="74030"/>
    <m/>
    <n v="740"/>
    <s v="Airline Agency"/>
    <n v="900"/>
    <x v="3"/>
    <n v="905"/>
    <x v="27"/>
    <n v="2500"/>
  </r>
  <r>
    <n v="20"/>
    <x v="1"/>
    <n v="740"/>
    <s v="Airport"/>
    <s v="74030"/>
    <m/>
    <n v="740"/>
    <s v="Airline Agency"/>
    <n v="900"/>
    <x v="3"/>
    <n v="906"/>
    <x v="32"/>
    <n v="1500"/>
  </r>
  <r>
    <n v="50"/>
    <x v="4"/>
    <n v="750"/>
    <s v="Workshop"/>
    <s v="75010"/>
    <s v="Workshop - Income"/>
    <s v=""/>
    <m/>
    <n v="117"/>
    <x v="5"/>
    <n v="155"/>
    <x v="107"/>
    <n v="-25000"/>
  </r>
  <r>
    <n v="50"/>
    <x v="4"/>
    <n v="750"/>
    <s v="Workshop"/>
    <s v="75030"/>
    <m/>
    <n v="750"/>
    <s v="Workshop"/>
    <n v="201"/>
    <x v="2"/>
    <n v="210"/>
    <x v="5"/>
    <n v="165454"/>
  </r>
  <r>
    <n v="50"/>
    <x v="4"/>
    <n v="750"/>
    <s v="Workshop"/>
    <s v="75030"/>
    <m/>
    <n v="750"/>
    <s v="Workshop"/>
    <n v="204"/>
    <x v="2"/>
    <n v="240"/>
    <x v="6"/>
    <n v="19854.48"/>
  </r>
  <r>
    <n v="50"/>
    <x v="4"/>
    <n v="750"/>
    <s v="Workshop"/>
    <s v="75030"/>
    <m/>
    <n v="750"/>
    <s v="Workshop"/>
    <n v="205"/>
    <x v="2"/>
    <n v="252"/>
    <x v="38"/>
    <n v="1000"/>
  </r>
  <r>
    <n v="50"/>
    <x v="4"/>
    <n v="750"/>
    <s v="Workshop"/>
    <s v="75030"/>
    <m/>
    <n v="750"/>
    <s v="Workshop"/>
    <n v="205"/>
    <x v="2"/>
    <n v="253"/>
    <x v="17"/>
    <n v="2500"/>
  </r>
  <r>
    <n v="50"/>
    <x v="4"/>
    <n v="750"/>
    <s v="Workshop"/>
    <s v="75030"/>
    <m/>
    <n v="750"/>
    <s v="Workshop"/>
    <n v="205"/>
    <x v="2"/>
    <n v="255"/>
    <x v="18"/>
    <n v="900"/>
  </r>
  <r>
    <n v="50"/>
    <x v="4"/>
    <n v="750"/>
    <s v="Workshop"/>
    <s v="75030"/>
    <m/>
    <n v="750"/>
    <s v="Workshop"/>
    <n v="205"/>
    <x v="2"/>
    <n v="256"/>
    <x v="7"/>
    <n v="2779.6271999999999"/>
  </r>
  <r>
    <n v="50"/>
    <x v="4"/>
    <n v="750"/>
    <s v="Workshop"/>
    <s v="75030"/>
    <m/>
    <n v="750"/>
    <s v="Workshop"/>
    <n v="211"/>
    <x v="6"/>
    <n v="282"/>
    <x v="108"/>
    <n v="2500"/>
  </r>
  <r>
    <n v="50"/>
    <x v="4"/>
    <n v="750"/>
    <s v="Workshop"/>
    <s v="75030"/>
    <m/>
    <n v="750"/>
    <s v="Workshop"/>
    <n v="250"/>
    <x v="1"/>
    <n v="335"/>
    <x v="1"/>
    <n v="2500"/>
  </r>
  <r>
    <n v="50"/>
    <x v="4"/>
    <n v="750"/>
    <s v="Workshop"/>
    <s v="75030"/>
    <m/>
    <n v="750"/>
    <s v="Workshop"/>
    <n v="250"/>
    <x v="1"/>
    <n v="337"/>
    <x v="109"/>
    <n v="150"/>
  </r>
  <r>
    <n v="50"/>
    <x v="4"/>
    <n v="750"/>
    <s v="Workshop"/>
    <s v="75030"/>
    <m/>
    <n v="750"/>
    <s v="Workshop"/>
    <n v="250"/>
    <x v="1"/>
    <n v="339"/>
    <x v="89"/>
    <n v="1400"/>
  </r>
  <r>
    <n v="50"/>
    <x v="4"/>
    <n v="750"/>
    <s v="Workshop"/>
    <s v="75030"/>
    <m/>
    <n v="750"/>
    <s v="Workshop"/>
    <n v="250"/>
    <x v="1"/>
    <n v="350"/>
    <x v="9"/>
    <n v="500"/>
  </r>
  <r>
    <n v="50"/>
    <x v="4"/>
    <n v="750"/>
    <s v="Workshop"/>
    <s v="75030"/>
    <m/>
    <n v="750"/>
    <s v="Workshop"/>
    <n v="250"/>
    <x v="1"/>
    <n v="358"/>
    <x v="2"/>
    <n v="1500"/>
  </r>
  <r>
    <n v="50"/>
    <x v="4"/>
    <n v="750"/>
    <s v="Workshop"/>
    <s v="75030"/>
    <m/>
    <n v="750"/>
    <s v="Workshop"/>
    <n v="250"/>
    <x v="1"/>
    <n v="366"/>
    <x v="22"/>
    <n v="1000"/>
  </r>
  <r>
    <n v="50"/>
    <x v="4"/>
    <n v="750"/>
    <s v="Workshop"/>
    <s v="75030"/>
    <m/>
    <n v="750"/>
    <s v="Workshop"/>
    <n v="250"/>
    <x v="1"/>
    <n v="369"/>
    <x v="10"/>
    <n v="1200"/>
  </r>
  <r>
    <n v="50"/>
    <x v="4"/>
    <n v="750"/>
    <s v="Workshop"/>
    <s v="75030"/>
    <m/>
    <n v="750"/>
    <s v="Workshop"/>
    <n v="250"/>
    <x v="1"/>
    <n v="371"/>
    <x v="43"/>
    <n v="2000"/>
  </r>
  <r>
    <n v="50"/>
    <x v="4"/>
    <n v="750"/>
    <s v="Workshop"/>
    <s v="75030"/>
    <m/>
    <n v="750"/>
    <s v="Workshop"/>
    <n v="268"/>
    <x v="8"/>
    <n v="394"/>
    <x v="30"/>
    <n v="1500"/>
  </r>
  <r>
    <n v="50"/>
    <x v="4"/>
    <n v="750"/>
    <s v="Workshop"/>
    <s v="75030"/>
    <m/>
    <n v="750"/>
    <s v="Workshop"/>
    <n v="268"/>
    <x v="8"/>
    <n v="395"/>
    <x v="31"/>
    <n v="500"/>
  </r>
  <r>
    <n v="50"/>
    <x v="4"/>
    <n v="750"/>
    <s v="Workshop"/>
    <s v="75030"/>
    <m/>
    <n v="750"/>
    <s v="Workshop"/>
    <n v="270"/>
    <x v="1"/>
    <n v="333"/>
    <x v="35"/>
    <n v="12500"/>
  </r>
  <r>
    <n v="50"/>
    <x v="4"/>
    <n v="750"/>
    <s v="Workshop"/>
    <s v="75030"/>
    <m/>
    <n v="750"/>
    <s v="Workshop"/>
    <n v="272"/>
    <x v="7"/>
    <n v="380"/>
    <x v="23"/>
    <n v="1500"/>
  </r>
  <r>
    <n v="50"/>
    <x v="4"/>
    <n v="750"/>
    <s v="Workshop"/>
    <s v="75030"/>
    <m/>
    <n v="750"/>
    <s v="Workshop"/>
    <n v="272"/>
    <x v="7"/>
    <n v="382"/>
    <x v="24"/>
    <n v="2000"/>
  </r>
  <r>
    <n v="50"/>
    <x v="4"/>
    <n v="750"/>
    <s v="Workshop"/>
    <s v="75030"/>
    <m/>
    <n v="750"/>
    <s v="Workshop"/>
    <n v="278"/>
    <x v="1"/>
    <n v="353"/>
    <x v="3"/>
    <n v="12000"/>
  </r>
  <r>
    <n v="50"/>
    <x v="4"/>
    <n v="750"/>
    <s v="Workshop"/>
    <s v="75030"/>
    <m/>
    <n v="750"/>
    <s v="Workshop"/>
    <n v="278"/>
    <x v="1"/>
    <n v="356"/>
    <x v="39"/>
    <n v="1400"/>
  </r>
  <r>
    <n v="50"/>
    <x v="4"/>
    <n v="750"/>
    <s v="Workshop"/>
    <s v="75030"/>
    <m/>
    <n v="750"/>
    <s v="Workshop"/>
    <n v="810"/>
    <x v="10"/>
    <n v="810"/>
    <x v="65"/>
    <m/>
  </r>
  <r>
    <n v="50"/>
    <x v="4"/>
    <n v="750"/>
    <s v="Workshop"/>
    <s v="75030"/>
    <m/>
    <n v="750"/>
    <s v="Workshop"/>
    <n v="900"/>
    <x v="3"/>
    <n v="904"/>
    <x v="40"/>
    <n v="4000"/>
  </r>
  <r>
    <n v="50"/>
    <x v="4"/>
    <n v="750"/>
    <s v="Workshop"/>
    <s v="75030"/>
    <m/>
    <n v="750"/>
    <s v="Workshop"/>
    <n v="900"/>
    <x v="3"/>
    <n v="905"/>
    <x v="27"/>
    <n v="2500"/>
  </r>
  <r>
    <n v="50"/>
    <x v="4"/>
    <n v="750"/>
    <s v="Workshop"/>
    <s v="75030"/>
    <m/>
    <n v="750"/>
    <s v="Workshop"/>
    <n v="900"/>
    <x v="3"/>
    <n v="906"/>
    <x v="32"/>
    <n v="-48350"/>
  </r>
  <r>
    <n v="50"/>
    <x v="4"/>
    <n v="756"/>
    <s v="Concrete Batching"/>
    <s v="75610"/>
    <s v="Conctrete Batching - Income"/>
    <s v=""/>
    <m/>
    <n v="116"/>
    <x v="5"/>
    <n v="151"/>
    <x v="110"/>
    <n v="-450000"/>
  </r>
  <r>
    <n v="50"/>
    <x v="4"/>
    <n v="756"/>
    <s v="Concrete Batching"/>
    <s v="75630"/>
    <m/>
    <n v="756"/>
    <s v="Concrete Batching"/>
    <n v="250"/>
    <x v="1"/>
    <n v="335"/>
    <x v="1"/>
    <n v="26000"/>
  </r>
  <r>
    <n v="50"/>
    <x v="4"/>
    <n v="756"/>
    <s v="Concrete Batching"/>
    <s v="75630"/>
    <m/>
    <n v="756"/>
    <s v="Concrete Batching"/>
    <n v="255"/>
    <x v="1"/>
    <n v="325"/>
    <x v="97"/>
    <n v="24000"/>
  </r>
  <r>
    <n v="50"/>
    <x v="4"/>
    <n v="756"/>
    <s v="Concrete Batching"/>
    <s v="75630"/>
    <m/>
    <n v="756"/>
    <s v="Concrete Batching"/>
    <n v="262"/>
    <x v="1"/>
    <n v="345"/>
    <x v="111"/>
    <n v="40000"/>
  </r>
  <r>
    <n v="50"/>
    <x v="4"/>
    <n v="756"/>
    <s v="Concrete Batching"/>
    <s v="75630"/>
    <m/>
    <n v="756"/>
    <s v="Concrete Batching"/>
    <n v="270"/>
    <x v="1"/>
    <n v="333"/>
    <x v="35"/>
    <n v="1500"/>
  </r>
  <r>
    <n v="50"/>
    <x v="4"/>
    <n v="756"/>
    <s v="Concrete Batching"/>
    <s v="75630"/>
    <m/>
    <n v="756"/>
    <s v="Concrete Batching"/>
    <n v="278"/>
    <x v="1"/>
    <n v="353"/>
    <x v="3"/>
    <n v="200000"/>
  </r>
  <r>
    <n v="50"/>
    <x v="4"/>
    <n v="756"/>
    <s v="Concrete Batching"/>
    <s v="75640"/>
    <s v="Concrete Batching - Materials &amp; Supplies"/>
    <s v=""/>
    <m/>
    <n v="900"/>
    <x v="3"/>
    <n v="908"/>
    <x v="49"/>
    <n v="15000"/>
  </r>
  <r>
    <n v="50"/>
    <x v="4"/>
    <n v="758"/>
    <s v="Plant Hire"/>
    <s v="75810"/>
    <s v="Plant Hire - Income"/>
    <s v=""/>
    <m/>
    <n v="120"/>
    <x v="5"/>
    <n v="160"/>
    <x v="79"/>
    <n v="-120000"/>
  </r>
  <r>
    <n v="50"/>
    <x v="4"/>
    <n v="758"/>
    <s v="Plant Hire"/>
    <s v="75830"/>
    <m/>
    <n v="758"/>
    <s v="Plant/Equipment"/>
    <n v="201"/>
    <x v="2"/>
    <n v="210"/>
    <x v="5"/>
    <m/>
  </r>
  <r>
    <n v="50"/>
    <x v="4"/>
    <n v="758"/>
    <s v="Plant Hire"/>
    <s v="75830"/>
    <m/>
    <n v="758"/>
    <s v="Plant/Equipment"/>
    <n v="204"/>
    <x v="2"/>
    <n v="240"/>
    <x v="6"/>
    <n v="0"/>
  </r>
  <r>
    <n v="50"/>
    <x v="4"/>
    <n v="758"/>
    <s v="Plant Hire"/>
    <s v="75830"/>
    <m/>
    <n v="758"/>
    <s v="Plant/Equipment"/>
    <n v="205"/>
    <x v="2"/>
    <n v="256"/>
    <x v="7"/>
    <n v="0"/>
  </r>
  <r>
    <n v="50"/>
    <x v="4"/>
    <n v="758"/>
    <s v="Plant Hire"/>
    <s v="75830"/>
    <m/>
    <n v="758"/>
    <s v="Plant/Equipment"/>
    <n v="250"/>
    <x v="1"/>
    <n v="335"/>
    <x v="1"/>
    <n v="8000"/>
  </r>
  <r>
    <n v="50"/>
    <x v="4"/>
    <n v="758"/>
    <s v="Plant Hire"/>
    <s v="75830"/>
    <m/>
    <n v="758"/>
    <s v="Plant/Equipment"/>
    <n v="250"/>
    <x v="1"/>
    <n v="358"/>
    <x v="2"/>
    <n v="2000"/>
  </r>
  <r>
    <n v="50"/>
    <x v="4"/>
    <n v="758"/>
    <s v="Plant Hire"/>
    <s v="75830"/>
    <m/>
    <n v="758"/>
    <s v="Plant/Equipment"/>
    <n v="250"/>
    <x v="1"/>
    <n v="366"/>
    <x v="22"/>
    <n v="500"/>
  </r>
  <r>
    <n v="50"/>
    <x v="4"/>
    <n v="758"/>
    <s v="Plant Hire"/>
    <s v="75830"/>
    <m/>
    <n v="758"/>
    <s v="Plant/Equipment"/>
    <n v="262"/>
    <x v="1"/>
    <n v="345"/>
    <x v="111"/>
    <m/>
  </r>
  <r>
    <n v="50"/>
    <x v="4"/>
    <n v="758"/>
    <s v="Plant Hire"/>
    <s v="75830"/>
    <m/>
    <n v="758"/>
    <s v="Plant/Equipment"/>
    <n v="268"/>
    <x v="8"/>
    <n v="394"/>
    <x v="30"/>
    <n v="12000"/>
  </r>
  <r>
    <n v="50"/>
    <x v="4"/>
    <n v="758"/>
    <s v="Plant Hire"/>
    <s v="75830"/>
    <m/>
    <n v="758"/>
    <s v="Plant/Equipment"/>
    <n v="272"/>
    <x v="7"/>
    <n v="382"/>
    <x v="24"/>
    <n v="52000"/>
  </r>
  <r>
    <n v="50"/>
    <x v="4"/>
    <n v="758"/>
    <s v="Plant Hire"/>
    <s v="75830"/>
    <m/>
    <n v="758"/>
    <s v="Plant/Equipment"/>
    <n v="278"/>
    <x v="1"/>
    <n v="353"/>
    <x v="3"/>
    <n v="2500"/>
  </r>
  <r>
    <n v="50"/>
    <x v="4"/>
    <n v="758"/>
    <s v="Plant Hire"/>
    <s v="75830"/>
    <m/>
    <n v="758"/>
    <s v="Plant/Equipment"/>
    <n v="278"/>
    <x v="1"/>
    <n v="356"/>
    <x v="39"/>
    <n v="300"/>
  </r>
  <r>
    <n v="50"/>
    <x v="4"/>
    <n v="758"/>
    <s v="Plant Hire"/>
    <s v="75830"/>
    <m/>
    <n v="758"/>
    <s v="Plant/Equipment"/>
    <n v="810"/>
    <x v="10"/>
    <n v="810"/>
    <x v="65"/>
    <m/>
  </r>
  <r>
    <n v="50"/>
    <x v="4"/>
    <n v="758"/>
    <s v="Plant Hire"/>
    <s v="75830"/>
    <m/>
    <n v="758"/>
    <s v="Plant/Equipment"/>
    <n v="900"/>
    <x v="3"/>
    <n v="904"/>
    <x v="40"/>
    <n v="10000"/>
  </r>
  <r>
    <n v="50"/>
    <x v="4"/>
    <n v="758"/>
    <s v="Plant Hire"/>
    <s v="75830"/>
    <m/>
    <n v="758"/>
    <s v="Plant/Equipment"/>
    <n v="900"/>
    <x v="3"/>
    <n v="906"/>
    <x v="32"/>
    <n v="25000"/>
  </r>
  <r>
    <n v="50"/>
    <x v="4"/>
    <n v="758"/>
    <s v="Plant Hire"/>
    <s v="75830"/>
    <m/>
    <n v="758"/>
    <s v="Plant/Equipment"/>
    <n v="900"/>
    <x v="3"/>
    <n v="908"/>
    <x v="49"/>
    <n v="-75000"/>
  </r>
  <r>
    <n v="50"/>
    <x v="4"/>
    <n v="758"/>
    <s v="Plant Hire"/>
    <s v="75830"/>
    <m/>
    <n v="758"/>
    <s v="Plant/Equipment"/>
    <n v="900"/>
    <x v="3"/>
    <n v="909"/>
    <x v="112"/>
    <n v="-50000"/>
  </r>
  <r>
    <n v="50"/>
    <x v="4"/>
    <n v="760"/>
    <s v="Roads to Recovery"/>
    <s v="76010"/>
    <s v="Roads to Recovery - Capital Income"/>
    <s v=""/>
    <m/>
    <n v="125"/>
    <x v="14"/>
    <n v="184"/>
    <x v="113"/>
    <n v="-169487"/>
  </r>
  <r>
    <n v="50"/>
    <x v="4"/>
    <n v="760"/>
    <s v="Roads to Recovery"/>
    <s v="76030"/>
    <m/>
    <n v="760"/>
    <s v="Roads To Recovery"/>
    <n v="255"/>
    <x v="10"/>
    <n v="810"/>
    <x v="65"/>
    <n v="25000"/>
  </r>
  <r>
    <n v="50"/>
    <x v="4"/>
    <n v="760"/>
    <s v="Roads to Recovery"/>
    <s v="76030"/>
    <m/>
    <n v="760"/>
    <s v="Roads To Recovery"/>
    <n v="262"/>
    <x v="10"/>
    <n v="810"/>
    <x v="65"/>
    <n v="10000"/>
  </r>
  <r>
    <n v="50"/>
    <x v="4"/>
    <n v="760"/>
    <s v="Roads to Recovery"/>
    <s v="76030"/>
    <m/>
    <n v="760"/>
    <s v="Roads To Recovery"/>
    <n v="278"/>
    <x v="10"/>
    <n v="810"/>
    <x v="65"/>
    <n v="122987"/>
  </r>
  <r>
    <n v="50"/>
    <x v="4"/>
    <n v="760"/>
    <s v="Roads to Recovery"/>
    <s v="76030"/>
    <m/>
    <n v="760"/>
    <s v="Roads To Recovery"/>
    <n v="900"/>
    <x v="10"/>
    <n v="810"/>
    <x v="65"/>
    <n v="2500"/>
  </r>
  <r>
    <n v="50"/>
    <x v="4"/>
    <n v="760"/>
    <s v="Roads to Recovery"/>
    <s v="76030"/>
    <m/>
    <n v="760"/>
    <s v="Roads To Recovery"/>
    <n v="900"/>
    <x v="10"/>
    <n v="810"/>
    <x v="65"/>
    <n v="3000"/>
  </r>
  <r>
    <n v="50"/>
    <x v="4"/>
    <n v="760"/>
    <s v="Roads to Recovery"/>
    <s v="76030"/>
    <m/>
    <n v="760"/>
    <s v="Roads To Recovery"/>
    <n v="900"/>
    <x v="10"/>
    <n v="810"/>
    <x v="65"/>
    <n v="6000"/>
  </r>
  <r>
    <n v="50"/>
    <x v="4"/>
    <n v="764"/>
    <s v="CYRP/CIMA"/>
    <n v="76810"/>
    <m/>
    <m/>
    <m/>
    <m/>
    <x v="14"/>
    <n v="183"/>
    <x v="114"/>
    <n v="-2000000"/>
  </r>
  <r>
    <n v="50"/>
    <x v="4"/>
    <n v="764"/>
    <s v="CYRP/CIMA"/>
    <n v="76830"/>
    <m/>
    <m/>
    <m/>
    <m/>
    <x v="10"/>
    <n v="810"/>
    <x v="65"/>
    <n v="500000"/>
  </r>
  <r>
    <n v="50"/>
    <x v="4"/>
    <n v="764"/>
    <s v="CYRP/CIMA"/>
    <n v="76830"/>
    <m/>
    <m/>
    <m/>
    <m/>
    <x v="10"/>
    <n v="810"/>
    <x v="65"/>
    <n v="1000000"/>
  </r>
  <r>
    <n v="50"/>
    <x v="4"/>
    <n v="764"/>
    <s v="CYRP/CIMA"/>
    <n v="76830"/>
    <m/>
    <m/>
    <m/>
    <m/>
    <x v="10"/>
    <n v="810"/>
    <x v="65"/>
    <n v="500000"/>
  </r>
  <r>
    <n v="50"/>
    <x v="4"/>
    <n v="769"/>
    <s v="Tids - Access Road Design Missing Link"/>
    <s v="76910"/>
    <s v="TIDS - Access Rd Design Missing Link Capital Income"/>
    <s v=""/>
    <m/>
    <n v="125"/>
    <x v="14"/>
    <n v="183"/>
    <x v="114"/>
    <m/>
  </r>
  <r>
    <n v="50"/>
    <x v="4"/>
    <n v="769"/>
    <s v="Tids - Access Road Design Missing Link"/>
    <s v="76930"/>
    <s v="TIDS - Access Rd Design Missing Link - Capital Expenditure"/>
    <s v=""/>
    <m/>
    <n v="250"/>
    <x v="1"/>
    <n v="358"/>
    <x v="2"/>
    <m/>
  </r>
  <r>
    <n v="50"/>
    <x v="4"/>
    <n v="769"/>
    <s v="Tids - Access Road Design Missing Link"/>
    <s v="76930"/>
    <s v="TIDS - Access Rd Design Missing Link - Capital Expenditure"/>
    <s v=""/>
    <m/>
    <n v="255"/>
    <x v="1"/>
    <n v="325"/>
    <x v="97"/>
    <m/>
  </r>
  <r>
    <n v="50"/>
    <x v="4"/>
    <n v="769"/>
    <s v="Tids - Access Road Design Missing Link"/>
    <s v="76930"/>
    <s v="TIDS - Access Rd Design Missing Link - Capital Expenditure"/>
    <s v=""/>
    <m/>
    <n v="262"/>
    <x v="1"/>
    <n v="345"/>
    <x v="111"/>
    <m/>
  </r>
  <r>
    <n v="50"/>
    <x v="4"/>
    <n v="769"/>
    <s v="Tids - Access Road Design Missing Link"/>
    <s v="76930"/>
    <s v="TIDS - Access Rd Design Missing Link - Capital Expenditure"/>
    <s v=""/>
    <m/>
    <n v="278"/>
    <x v="1"/>
    <n v="353"/>
    <x v="3"/>
    <m/>
  </r>
  <r>
    <n v="50"/>
    <x v="4"/>
    <n v="769"/>
    <s v="Tids - Access Road Design Missing Link"/>
    <s v="76930"/>
    <s v="TIDS - Access Rd Design Missing Link - Capital Expenditure"/>
    <s v=""/>
    <m/>
    <n v="900"/>
    <x v="3"/>
    <n v="903"/>
    <x v="26"/>
    <m/>
  </r>
  <r>
    <n v="50"/>
    <x v="4"/>
    <n v="769"/>
    <s v="Tids - Access Road Design Missing Link"/>
    <s v="76930"/>
    <s v="TIDS - Access Rd Design Missing Link - Capital Expenditure"/>
    <s v=""/>
    <m/>
    <n v="900"/>
    <x v="3"/>
    <n v="904"/>
    <x v="40"/>
    <m/>
  </r>
  <r>
    <n v="50"/>
    <x v="4"/>
    <n v="769"/>
    <s v="Tids - Access Road Design Missing Link"/>
    <s v="76930"/>
    <s v="TIDS - Access Rd Design Missing Link - Capital Expenditure"/>
    <s v=""/>
    <m/>
    <n v="900"/>
    <x v="3"/>
    <n v="908"/>
    <x v="49"/>
    <n v="30000"/>
  </r>
  <r>
    <n v="50"/>
    <x v="4"/>
    <n v="769"/>
    <s v="Tids - Access Road Design Missing Link"/>
    <s v="76930"/>
    <s v="TIDS - Access Rd Design Missing Link - Capital Expenditure"/>
    <s v=""/>
    <m/>
    <n v="900"/>
    <x v="3"/>
    <n v="909"/>
    <x v="112"/>
    <n v="50000"/>
  </r>
  <r>
    <n v="50"/>
    <x v="4"/>
    <n v="770"/>
    <s v="Parks &amp; Gardens"/>
    <s v="77010"/>
    <s v="Parks &amp; Gardens Income SGFA"/>
    <s v=""/>
    <m/>
    <n v="113"/>
    <x v="5"/>
    <n v="189"/>
    <x v="115"/>
    <n v="-35000"/>
  </r>
  <r>
    <n v="50"/>
    <x v="4"/>
    <n v="770"/>
    <s v="Parks &amp; Gardens"/>
    <s v="77030"/>
    <m/>
    <n v="770"/>
    <s v="Parks And Gardens"/>
    <n v="201"/>
    <x v="2"/>
    <n v="210"/>
    <x v="5"/>
    <n v="155466"/>
  </r>
  <r>
    <n v="50"/>
    <x v="4"/>
    <n v="770"/>
    <s v="Parks &amp; Gardens"/>
    <s v="77030"/>
    <m/>
    <n v="770"/>
    <s v="Parks And Gardens"/>
    <n v="204"/>
    <x v="2"/>
    <n v="240"/>
    <x v="6"/>
    <n v="18655.919999999998"/>
  </r>
  <r>
    <n v="50"/>
    <x v="4"/>
    <n v="770"/>
    <s v="Parks &amp; Gardens"/>
    <s v="77030"/>
    <m/>
    <n v="770"/>
    <s v="Parks And Gardens"/>
    <n v="205"/>
    <x v="2"/>
    <n v="255"/>
    <x v="18"/>
    <n v="1200"/>
  </r>
  <r>
    <n v="50"/>
    <x v="4"/>
    <n v="770"/>
    <s v="Parks &amp; Gardens"/>
    <s v="77030"/>
    <m/>
    <n v="770"/>
    <s v="Parks And Gardens"/>
    <n v="205"/>
    <x v="2"/>
    <n v="256"/>
    <x v="7"/>
    <n v="2611.8287999999998"/>
  </r>
  <r>
    <n v="50"/>
    <x v="4"/>
    <n v="770"/>
    <s v="Parks &amp; Gardens"/>
    <s v="77030"/>
    <m/>
    <n v="770"/>
    <s v="Parks And Gardens"/>
    <n v="250"/>
    <x v="1"/>
    <n v="335"/>
    <x v="1"/>
    <n v="1000"/>
  </r>
  <r>
    <n v="50"/>
    <x v="4"/>
    <n v="770"/>
    <s v="Parks &amp; Gardens"/>
    <s v="77030"/>
    <m/>
    <n v="770"/>
    <s v="Parks And Gardens"/>
    <n v="250"/>
    <x v="1"/>
    <n v="358"/>
    <x v="2"/>
    <n v="3000"/>
  </r>
  <r>
    <n v="50"/>
    <x v="4"/>
    <n v="770"/>
    <s v="Parks &amp; Gardens"/>
    <s v="77030"/>
    <m/>
    <n v="770"/>
    <s v="Parks And Gardens"/>
    <n v="250"/>
    <x v="1"/>
    <n v="366"/>
    <x v="22"/>
    <n v="1500"/>
  </r>
  <r>
    <n v="50"/>
    <x v="4"/>
    <n v="770"/>
    <s v="Parks &amp; Gardens"/>
    <s v="77030"/>
    <m/>
    <n v="770"/>
    <s v="Parks And Gardens"/>
    <n v="250"/>
    <x v="1"/>
    <n v="371"/>
    <x v="43"/>
    <n v="2000"/>
  </r>
  <r>
    <n v="50"/>
    <x v="4"/>
    <n v="770"/>
    <s v="Parks &amp; Gardens"/>
    <s v="77030"/>
    <m/>
    <n v="770"/>
    <s v="Parks And Gardens"/>
    <n v="268"/>
    <x v="8"/>
    <n v="394"/>
    <x v="30"/>
    <n v="900"/>
  </r>
  <r>
    <n v="50"/>
    <x v="4"/>
    <n v="770"/>
    <s v="Parks &amp; Gardens"/>
    <s v="77030"/>
    <m/>
    <n v="770"/>
    <s v="Parks And Gardens"/>
    <n v="272"/>
    <x v="7"/>
    <n v="382"/>
    <x v="24"/>
    <n v="2000"/>
  </r>
  <r>
    <n v="50"/>
    <x v="4"/>
    <n v="770"/>
    <s v="Parks &amp; Gardens"/>
    <s v="77030"/>
    <m/>
    <n v="770"/>
    <s v="Parks And Gardens"/>
    <n v="278"/>
    <x v="1"/>
    <n v="353"/>
    <x v="3"/>
    <n v="2500"/>
  </r>
  <r>
    <n v="50"/>
    <x v="4"/>
    <n v="770"/>
    <s v="Parks &amp; Gardens"/>
    <s v="77030"/>
    <m/>
    <n v="770"/>
    <s v="Parks And Gardens"/>
    <n v="278"/>
    <x v="1"/>
    <n v="356"/>
    <x v="39"/>
    <n v="400"/>
  </r>
  <r>
    <n v="50"/>
    <x v="4"/>
    <n v="770"/>
    <s v="Parks &amp; Gardens"/>
    <s v="77030"/>
    <m/>
    <n v="770"/>
    <s v="Parks And Gardens"/>
    <n v="900"/>
    <x v="3"/>
    <n v="904"/>
    <x v="40"/>
    <n v="6500"/>
  </r>
  <r>
    <n v="50"/>
    <x v="4"/>
    <n v="770"/>
    <s v="Parks &amp; Gardens"/>
    <s v="77030"/>
    <m/>
    <n v="770"/>
    <s v="Parks And Gardens"/>
    <n v="900"/>
    <x v="3"/>
    <n v="906"/>
    <x v="32"/>
    <n v="5000"/>
  </r>
  <r>
    <n v="50"/>
    <x v="4"/>
    <n v="778"/>
    <s v="2015 REPA Emergent Works"/>
    <s v="77810"/>
    <s v="2015 REPA Emergent Works - Operating Income"/>
    <s v=""/>
    <m/>
    <n v="124"/>
    <x v="0"/>
    <n v="181"/>
    <x v="0"/>
    <m/>
  </r>
  <r>
    <n v="50"/>
    <x v="4"/>
    <n v="779"/>
    <s v="NDRRA 2015 Restoration "/>
    <s v="77910"/>
    <s v="NDRRA 2015 Restoration Works - Capital Income"/>
    <s v=""/>
    <m/>
    <n v="125"/>
    <x v="14"/>
    <n v="183"/>
    <x v="114"/>
    <n v="-2267965"/>
  </r>
  <r>
    <n v="50"/>
    <x v="4"/>
    <n v="779"/>
    <s v="NDRRA 2015 Restoration - Kowanyama Rd"/>
    <s v="77930"/>
    <m/>
    <n v="779"/>
    <s v="Ndrra 2015 Restoration Works"/>
    <n v="255"/>
    <x v="10"/>
    <n v="810"/>
    <x v="65"/>
    <n v="317515.10000000003"/>
  </r>
  <r>
    <n v="50"/>
    <x v="4"/>
    <n v="779"/>
    <s v="NDRRA 2015 Restoration - Kowanyama Rd"/>
    <s v="77930"/>
    <m/>
    <n v="779"/>
    <s v="Ndrra 2015 Restoration Works"/>
    <n v="262"/>
    <x v="10"/>
    <n v="810"/>
    <x v="65"/>
    <n v="1383458.65"/>
  </r>
  <r>
    <n v="50"/>
    <x v="4"/>
    <n v="779"/>
    <s v="NDRRA 2015 Restoration - Kowanyama Rd"/>
    <s v="77930"/>
    <m/>
    <n v="779"/>
    <s v="Ndrra 2015 Restoration Works"/>
    <n v="278"/>
    <x v="10"/>
    <n v="810"/>
    <x v="65"/>
    <n v="45359.3"/>
  </r>
  <r>
    <n v="50"/>
    <x v="4"/>
    <n v="779"/>
    <s v="NDRRA 2015 Restoration - Kowanyama Rd"/>
    <s v="77930"/>
    <m/>
    <n v="779"/>
    <s v="Ndrra 2015 Restoration Works"/>
    <n v="900"/>
    <x v="10"/>
    <n v="810"/>
    <x v="65"/>
    <n v="90718.6"/>
  </r>
  <r>
    <n v="50"/>
    <x v="4"/>
    <n v="779"/>
    <s v="NDRRA 2015 Restoration - Kowanyama Rd"/>
    <s v="77930"/>
    <m/>
    <n v="779"/>
    <s v="Ndrra 2015 Restoration Works"/>
    <n v="900"/>
    <x v="10"/>
    <n v="810"/>
    <x v="65"/>
    <n v="294835.45"/>
  </r>
  <r>
    <n v="50"/>
    <x v="4"/>
    <n v="779"/>
    <s v="NDRRA 2015 Restoration - Kowanyama Rd"/>
    <s v="77930"/>
    <m/>
    <n v="779"/>
    <s v="Ndrra 2015 Restoration Works"/>
    <n v="900"/>
    <x v="10"/>
    <n v="810"/>
    <x v="65"/>
    <n v="56699.125"/>
  </r>
  <r>
    <n v="50"/>
    <x v="4"/>
    <n v="779"/>
    <s v="NDRRA 2015 Restoration - Kowanyama Rd"/>
    <s v="77930"/>
    <m/>
    <n v="779"/>
    <s v="Ndrra 2015 Restoration Works"/>
    <n v="900"/>
    <x v="10"/>
    <n v="810"/>
    <x v="65"/>
    <n v="79378.775000000009"/>
  </r>
  <r>
    <n v="50"/>
    <x v="4"/>
    <n v="780"/>
    <s v="Water Supply"/>
    <s v="78010"/>
    <s v="Water Supply Income - SGFA"/>
    <s v=""/>
    <m/>
    <n v="100"/>
    <x v="15"/>
    <n v="101"/>
    <x v="116"/>
    <n v="-18700"/>
  </r>
  <r>
    <n v="50"/>
    <x v="4"/>
    <n v="780"/>
    <s v="Water Supply"/>
    <s v="78030"/>
    <m/>
    <n v="780"/>
    <s v="Water Supply"/>
    <n v="201"/>
    <x v="2"/>
    <n v="210"/>
    <x v="5"/>
    <n v="38173"/>
  </r>
  <r>
    <n v="50"/>
    <x v="4"/>
    <n v="780"/>
    <s v="Water Supply"/>
    <s v="78030"/>
    <m/>
    <n v="780"/>
    <s v="Water Supply"/>
    <n v="204"/>
    <x v="2"/>
    <n v="240"/>
    <x v="6"/>
    <n v="4580.76"/>
  </r>
  <r>
    <n v="50"/>
    <x v="4"/>
    <n v="780"/>
    <s v="Water Supply"/>
    <s v="78030"/>
    <m/>
    <n v="780"/>
    <s v="Water Supply"/>
    <n v="205"/>
    <x v="2"/>
    <n v="255"/>
    <x v="18"/>
    <n v="300"/>
  </r>
  <r>
    <n v="50"/>
    <x v="4"/>
    <n v="780"/>
    <s v="Water Supply"/>
    <n v="78030"/>
    <m/>
    <m/>
    <m/>
    <m/>
    <x v="2"/>
    <n v="256"/>
    <x v="7"/>
    <n v="641.30640000000005"/>
  </r>
  <r>
    <n v="50"/>
    <x v="4"/>
    <n v="780"/>
    <s v="Water Supply"/>
    <s v="78030"/>
    <m/>
    <n v="780"/>
    <s v="Water Supply"/>
    <n v="250"/>
    <x v="1"/>
    <n v="335"/>
    <x v="1"/>
    <n v="3500"/>
  </r>
  <r>
    <n v="50"/>
    <x v="4"/>
    <n v="780"/>
    <s v="Water Supply"/>
    <s v="78030"/>
    <m/>
    <n v="780"/>
    <s v="Water Supply"/>
    <n v="250"/>
    <x v="1"/>
    <n v="337"/>
    <x v="109"/>
    <n v="4000"/>
  </r>
  <r>
    <n v="50"/>
    <x v="4"/>
    <n v="780"/>
    <s v="Water Supply"/>
    <s v="78030"/>
    <m/>
    <n v="780"/>
    <s v="Water Supply"/>
    <n v="250"/>
    <x v="1"/>
    <n v="339"/>
    <x v="89"/>
    <n v="2000"/>
  </r>
  <r>
    <n v="50"/>
    <x v="4"/>
    <n v="780"/>
    <s v="Water Supply"/>
    <s v="78030"/>
    <m/>
    <n v="780"/>
    <s v="Water Supply"/>
    <n v="250"/>
    <x v="1"/>
    <n v="350"/>
    <x v="9"/>
    <n v="150"/>
  </r>
  <r>
    <n v="50"/>
    <x v="4"/>
    <n v="780"/>
    <s v="Water Supply"/>
    <s v="78030"/>
    <m/>
    <n v="780"/>
    <s v="Water Supply"/>
    <n v="250"/>
    <x v="1"/>
    <n v="358"/>
    <x v="2"/>
    <n v="3000"/>
  </r>
  <r>
    <n v="50"/>
    <x v="4"/>
    <n v="780"/>
    <s v="Water Supply"/>
    <s v="78030"/>
    <m/>
    <n v="780"/>
    <s v="Water Supply"/>
    <n v="250"/>
    <x v="1"/>
    <n v="366"/>
    <x v="22"/>
    <n v="350"/>
  </r>
  <r>
    <n v="50"/>
    <x v="4"/>
    <n v="780"/>
    <s v="Water Supply"/>
    <s v="78030"/>
    <m/>
    <n v="780"/>
    <s v="Water Supply"/>
    <n v="250"/>
    <x v="1"/>
    <n v="367"/>
    <x v="37"/>
    <n v="150"/>
  </r>
  <r>
    <n v="50"/>
    <x v="4"/>
    <n v="780"/>
    <s v="Water Supply"/>
    <s v="78030"/>
    <m/>
    <n v="780"/>
    <s v="Water Supply"/>
    <n v="250"/>
    <x v="1"/>
    <n v="369"/>
    <x v="10"/>
    <n v="400"/>
  </r>
  <r>
    <n v="50"/>
    <x v="4"/>
    <n v="780"/>
    <s v="Water Supply"/>
    <s v="78030"/>
    <m/>
    <n v="780"/>
    <s v="Water Supply"/>
    <n v="250"/>
    <x v="1"/>
    <n v="371"/>
    <x v="43"/>
    <n v="3000"/>
  </r>
  <r>
    <n v="50"/>
    <x v="4"/>
    <n v="780"/>
    <s v="Water Supply"/>
    <s v="78030"/>
    <m/>
    <n v="780"/>
    <s v="Water Supply"/>
    <n v="250"/>
    <x v="1"/>
    <n v="375"/>
    <x v="117"/>
    <n v="15000"/>
  </r>
  <r>
    <n v="50"/>
    <x v="4"/>
    <n v="780"/>
    <s v="Water Supply"/>
    <s v="78030"/>
    <m/>
    <n v="780"/>
    <s v="Water Supply"/>
    <n v="270"/>
    <x v="1"/>
    <n v="333"/>
    <x v="35"/>
    <n v="14000"/>
  </r>
  <r>
    <n v="50"/>
    <x v="4"/>
    <n v="780"/>
    <s v="Water Supply"/>
    <s v="78030"/>
    <m/>
    <n v="780"/>
    <s v="Water Supply"/>
    <n v="272"/>
    <x v="7"/>
    <n v="382"/>
    <x v="24"/>
    <n v="4500"/>
  </r>
  <r>
    <n v="50"/>
    <x v="4"/>
    <n v="780"/>
    <s v="Water Supply"/>
    <s v="78030"/>
    <m/>
    <n v="780"/>
    <s v="Water Supply"/>
    <n v="278"/>
    <x v="1"/>
    <n v="353"/>
    <x v="3"/>
    <n v="3000"/>
  </r>
  <r>
    <n v="50"/>
    <x v="4"/>
    <n v="780"/>
    <s v="Water Supply"/>
    <s v="78030"/>
    <m/>
    <n v="780"/>
    <s v="Water Supply"/>
    <n v="278"/>
    <x v="1"/>
    <n v="356"/>
    <x v="39"/>
    <n v="700"/>
  </r>
  <r>
    <n v="50"/>
    <x v="4"/>
    <n v="780"/>
    <s v="Water Supply"/>
    <s v="78030"/>
    <m/>
    <n v="780"/>
    <s v="Water Supply"/>
    <n v="900"/>
    <x v="3"/>
    <n v="904"/>
    <x v="40"/>
    <n v="1500"/>
  </r>
  <r>
    <n v="50"/>
    <x v="4"/>
    <n v="790"/>
    <s v="Sewerage"/>
    <s v="79010"/>
    <s v="Sewerage - Income SGFA"/>
    <s v=""/>
    <m/>
    <n v="100"/>
    <x v="15"/>
    <n v="101"/>
    <x v="116"/>
    <n v="-54500"/>
  </r>
  <r>
    <n v="50"/>
    <x v="4"/>
    <n v="790"/>
    <s v="Sewerage"/>
    <s v="79030"/>
    <m/>
    <n v="790"/>
    <s v="Sewerage"/>
    <n v="201"/>
    <x v="2"/>
    <n v="210"/>
    <x v="5"/>
    <n v="93036"/>
  </r>
  <r>
    <n v="50"/>
    <x v="4"/>
    <n v="790"/>
    <s v="Sewerage"/>
    <s v="79030"/>
    <m/>
    <n v="790"/>
    <s v="Sewerage"/>
    <n v="204"/>
    <x v="2"/>
    <n v="240"/>
    <x v="6"/>
    <n v="11164.32"/>
  </r>
  <r>
    <n v="50"/>
    <x v="4"/>
    <n v="790"/>
    <s v="Sewerage"/>
    <m/>
    <m/>
    <m/>
    <m/>
    <m/>
    <x v="2"/>
    <n v="255"/>
    <x v="18"/>
    <n v="700"/>
  </r>
  <r>
    <n v="50"/>
    <x v="4"/>
    <n v="790"/>
    <s v="Sewerage"/>
    <s v="79030"/>
    <m/>
    <n v="790"/>
    <s v="Sewerage"/>
    <n v="205"/>
    <x v="2"/>
    <n v="256"/>
    <x v="7"/>
    <n v="1563.0048000000002"/>
  </r>
  <r>
    <n v="50"/>
    <x v="4"/>
    <n v="790"/>
    <s v="Sewerage"/>
    <s v="79030"/>
    <m/>
    <n v="790"/>
    <s v="Sewerage"/>
    <n v="250"/>
    <x v="1"/>
    <n v="335"/>
    <x v="1"/>
    <n v="1200"/>
  </r>
  <r>
    <n v="50"/>
    <x v="4"/>
    <n v="790"/>
    <s v="Sewerage"/>
    <s v="79030"/>
    <m/>
    <n v="790"/>
    <s v="Sewerage"/>
    <n v="270"/>
    <x v="1"/>
    <n v="333"/>
    <x v="35"/>
    <n v="7500"/>
  </r>
  <r>
    <n v="50"/>
    <x v="4"/>
    <n v="790"/>
    <s v="Sewerage"/>
    <s v="79030"/>
    <m/>
    <n v="790"/>
    <s v="Sewerage"/>
    <n v="272"/>
    <x v="7"/>
    <n v="380"/>
    <x v="23"/>
    <n v="10000"/>
  </r>
  <r>
    <n v="50"/>
    <x v="4"/>
    <n v="790"/>
    <s v="Sewerage"/>
    <s v="79030"/>
    <m/>
    <n v="790"/>
    <s v="Sewerage"/>
    <n v="272"/>
    <x v="7"/>
    <n v="382"/>
    <x v="24"/>
    <n v="1500"/>
  </r>
  <r>
    <n v="50"/>
    <x v="4"/>
    <n v="790"/>
    <s v="Sewerage"/>
    <s v="79030"/>
    <m/>
    <n v="790"/>
    <s v="Sewerage"/>
    <n v="278"/>
    <x v="1"/>
    <n v="353"/>
    <x v="3"/>
    <n v="1000"/>
  </r>
  <r>
    <n v="50"/>
    <x v="4"/>
    <n v="790"/>
    <s v="Sewerage"/>
    <s v="79030"/>
    <m/>
    <n v="790"/>
    <s v="Sewerage"/>
    <n v="278"/>
    <x v="1"/>
    <n v="356"/>
    <x v="39"/>
    <n v="200"/>
  </r>
  <r>
    <n v="50"/>
    <x v="4"/>
    <n v="791"/>
    <s v="Waste Management"/>
    <s v="79110"/>
    <s v="Waste Management Income"/>
    <s v=""/>
    <m/>
    <n v="100"/>
    <x v="15"/>
    <n v="101"/>
    <x v="116"/>
    <n v="-162000"/>
  </r>
  <r>
    <n v="50"/>
    <x v="4"/>
    <n v="791"/>
    <s v="Waste Management"/>
    <s v="79130"/>
    <m/>
    <n v="791"/>
    <s v="Waste Management"/>
    <n v="201"/>
    <x v="2"/>
    <n v="210"/>
    <x v="5"/>
    <n v="83661"/>
  </r>
  <r>
    <n v="50"/>
    <x v="4"/>
    <n v="791"/>
    <s v="Waste Management"/>
    <s v="79130"/>
    <m/>
    <n v="791"/>
    <s v="Waste Management"/>
    <n v="204"/>
    <x v="2"/>
    <n v="240"/>
    <x v="6"/>
    <n v="10039.32"/>
  </r>
  <r>
    <n v="50"/>
    <x v="4"/>
    <n v="791"/>
    <s v="Waste Management"/>
    <s v="79130"/>
    <m/>
    <n v="791"/>
    <s v="Waste Management"/>
    <n v="205"/>
    <x v="2"/>
    <n v="255"/>
    <x v="18"/>
    <n v="1000"/>
  </r>
  <r>
    <n v="50"/>
    <x v="4"/>
    <n v="791"/>
    <s v="Waste Management"/>
    <s v="79130"/>
    <m/>
    <n v="791"/>
    <s v="Waste Management"/>
    <n v="205"/>
    <x v="2"/>
    <n v="256"/>
    <x v="7"/>
    <n v="1405.5048000000002"/>
  </r>
  <r>
    <n v="50"/>
    <x v="4"/>
    <n v="791"/>
    <s v="Waste Management"/>
    <s v="79130"/>
    <m/>
    <n v="791"/>
    <s v="Waste Management"/>
    <n v="250"/>
    <x v="1"/>
    <n v="335"/>
    <x v="1"/>
    <n v="4000"/>
  </r>
  <r>
    <n v="50"/>
    <x v="4"/>
    <n v="791"/>
    <s v="Waste Management"/>
    <s v="79130"/>
    <m/>
    <n v="791"/>
    <s v="Waste Management"/>
    <n v="250"/>
    <x v="1"/>
    <n v="371"/>
    <x v="43"/>
    <n v="500"/>
  </r>
  <r>
    <n v="50"/>
    <x v="4"/>
    <n v="791"/>
    <s v="Waste Management"/>
    <s v="79130"/>
    <m/>
    <n v="791"/>
    <s v="Waste Management"/>
    <n v="268"/>
    <x v="8"/>
    <n v="394"/>
    <x v="30"/>
    <n v="1800"/>
  </r>
  <r>
    <n v="50"/>
    <x v="4"/>
    <n v="791"/>
    <s v="Waste Management"/>
    <s v="79130"/>
    <m/>
    <n v="791"/>
    <s v="Waste Management"/>
    <n v="278"/>
    <x v="1"/>
    <n v="353"/>
    <x v="3"/>
    <n v="1000"/>
  </r>
  <r>
    <n v="50"/>
    <x v="4"/>
    <n v="791"/>
    <s v="Waste Management"/>
    <s v="79130"/>
    <m/>
    <n v="791"/>
    <s v="Waste Management"/>
    <n v="900"/>
    <x v="3"/>
    <n v="904"/>
    <x v="40"/>
    <n v="4000"/>
  </r>
  <r>
    <n v="50"/>
    <x v="4"/>
    <n v="791"/>
    <s v="Waste Management"/>
    <s v="79130"/>
    <m/>
    <n v="791"/>
    <s v="Waste Management"/>
    <n v="900"/>
    <x v="3"/>
    <n v="906"/>
    <x v="32"/>
    <n v="3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useAutoFormatting="1" itemPrintTitles="1" createdVersion="5" indent="0" outline="1" outlineData="1" multipleFieldFilters="0">
  <location ref="A1:G137" firstHeaderRow="1" firstDataRow="2" firstDataCol="1"/>
  <pivotFields count="13">
    <pivotField showAll="0"/>
    <pivotField axis="axisCol" showAll="0">
      <items count="7">
        <item x="4"/>
        <item x="0"/>
        <item x="1"/>
        <item x="2"/>
        <item x="3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21">
        <item x="10"/>
        <item x="14"/>
        <item x="6"/>
        <item x="4"/>
        <item x="9"/>
        <item x="0"/>
        <item x="12"/>
        <item x="3"/>
        <item x="15"/>
        <item x="1"/>
        <item x="8"/>
        <item x="11"/>
        <item x="7"/>
        <item x="13"/>
        <item x="2"/>
        <item x="5"/>
        <item m="1" x="16"/>
        <item m="1" x="18"/>
        <item m="1" x="19"/>
        <item m="1" x="17"/>
        <item m="1" x="20"/>
      </items>
    </pivotField>
    <pivotField showAll="0"/>
    <pivotField axis="axisRow" showAll="0">
      <items count="136">
        <item x="73"/>
        <item x="81"/>
        <item x="80"/>
        <item m="1" x="122"/>
        <item m="1" x="125"/>
        <item x="50"/>
        <item m="1" x="121"/>
        <item x="104"/>
        <item x="105"/>
        <item x="57"/>
        <item x="70"/>
        <item x="58"/>
        <item x="106"/>
        <item x="64"/>
        <item x="95"/>
        <item x="98"/>
        <item m="1" x="120"/>
        <item m="1" x="133"/>
        <item x="101"/>
        <item x="29"/>
        <item x="90"/>
        <item x="91"/>
        <item x="65"/>
        <item x="8"/>
        <item x="34"/>
        <item x="44"/>
        <item x="110"/>
        <item x="45"/>
        <item x="60"/>
        <item x="59"/>
        <item x="46"/>
        <item x="97"/>
        <item x="36"/>
        <item x="66"/>
        <item x="86"/>
        <item x="61"/>
        <item x="52"/>
        <item x="78"/>
        <item x="35"/>
        <item x="71"/>
        <item x="113"/>
        <item x="28"/>
        <item m="1" x="118"/>
        <item x="1"/>
        <item x="85"/>
        <item x="87"/>
        <item x="84"/>
        <item x="88"/>
        <item x="89"/>
        <item x="109"/>
        <item x="4"/>
        <item x="42"/>
        <item x="33"/>
        <item x="79"/>
        <item x="111"/>
        <item x="102"/>
        <item x="67"/>
        <item x="72"/>
        <item x="94"/>
        <item x="12"/>
        <item x="47"/>
        <item x="25"/>
        <item x="40"/>
        <item x="83"/>
        <item x="26"/>
        <item x="49"/>
        <item x="27"/>
        <item x="112"/>
        <item x="32"/>
        <item x="41"/>
        <item x="68"/>
        <item x="3"/>
        <item x="39"/>
        <item x="54"/>
        <item x="53"/>
        <item x="31"/>
        <item x="30"/>
        <item x="115"/>
        <item m="1" x="129"/>
        <item m="1" x="131"/>
        <item m="1" x="128"/>
        <item x="2"/>
        <item m="1" x="119"/>
        <item x="16"/>
        <item x="19"/>
        <item x="63"/>
        <item x="13"/>
        <item x="14"/>
        <item x="15"/>
        <item x="20"/>
        <item x="9"/>
        <item x="23"/>
        <item x="24"/>
        <item x="93"/>
        <item x="76"/>
        <item x="62"/>
        <item x="92"/>
        <item x="103"/>
        <item x="100"/>
        <item m="1" x="130"/>
        <item x="75"/>
        <item x="22"/>
        <item x="5"/>
        <item m="1" x="127"/>
        <item x="74"/>
        <item x="48"/>
        <item x="116"/>
        <item m="1" x="126"/>
        <item x="21"/>
        <item x="56"/>
        <item x="0"/>
        <item x="114"/>
        <item x="37"/>
        <item x="77"/>
        <item m="1" x="134"/>
        <item x="69"/>
        <item x="6"/>
        <item x="10"/>
        <item x="43"/>
        <item x="38"/>
        <item x="17"/>
        <item x="11"/>
        <item x="82"/>
        <item x="117"/>
        <item x="7"/>
        <item x="108"/>
        <item x="107"/>
        <item x="18"/>
        <item m="1" x="132"/>
        <item x="51"/>
        <item x="55"/>
        <item x="96"/>
        <item m="1" x="124"/>
        <item x="99"/>
        <item m="1" x="123"/>
        <item t="default"/>
      </items>
    </pivotField>
    <pivotField dataField="1" showAll="0"/>
  </pivotFields>
  <rowFields count="2">
    <field x="9"/>
    <field x="11"/>
  </rowFields>
  <rowItems count="135">
    <i>
      <x/>
    </i>
    <i r="1">
      <x v="22"/>
    </i>
    <i>
      <x v="1"/>
    </i>
    <i r="1">
      <x v="40"/>
    </i>
    <i r="1">
      <x v="111"/>
    </i>
    <i>
      <x v="2"/>
    </i>
    <i r="1">
      <x v="45"/>
    </i>
    <i r="1">
      <x v="47"/>
    </i>
    <i r="1">
      <x v="84"/>
    </i>
    <i r="1">
      <x v="89"/>
    </i>
    <i r="1">
      <x v="125"/>
    </i>
    <i>
      <x v="3"/>
    </i>
    <i r="1">
      <x v="7"/>
    </i>
    <i r="1">
      <x v="8"/>
    </i>
    <i r="1">
      <x v="10"/>
    </i>
    <i r="1">
      <x v="12"/>
    </i>
    <i r="1">
      <x v="19"/>
    </i>
    <i r="1">
      <x v="20"/>
    </i>
    <i r="1">
      <x v="21"/>
    </i>
    <i r="1">
      <x v="46"/>
    </i>
    <i r="1">
      <x v="52"/>
    </i>
    <i r="1">
      <x v="86"/>
    </i>
    <i r="1">
      <x v="87"/>
    </i>
    <i r="1">
      <x v="115"/>
    </i>
    <i r="1">
      <x v="122"/>
    </i>
    <i>
      <x v="4"/>
    </i>
    <i r="1">
      <x v="13"/>
    </i>
    <i r="1">
      <x v="37"/>
    </i>
    <i>
      <x v="5"/>
    </i>
    <i r="1">
      <x v="32"/>
    </i>
    <i r="1">
      <x v="41"/>
    </i>
    <i r="1">
      <x v="50"/>
    </i>
    <i r="1">
      <x v="110"/>
    </i>
    <i r="1">
      <x v="113"/>
    </i>
    <i>
      <x v="6"/>
    </i>
    <i r="1">
      <x v="57"/>
    </i>
    <i>
      <x v="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>
      <x v="8"/>
    </i>
    <i r="1">
      <x v="106"/>
    </i>
    <i>
      <x v="9"/>
    </i>
    <i r="1">
      <x v="9"/>
    </i>
    <i r="1">
      <x v="11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5"/>
    </i>
    <i r="1">
      <x v="36"/>
    </i>
    <i r="1">
      <x v="38"/>
    </i>
    <i r="1">
      <x v="43"/>
    </i>
    <i r="1">
      <x v="48"/>
    </i>
    <i r="1">
      <x v="49"/>
    </i>
    <i r="1">
      <x v="51"/>
    </i>
    <i r="1">
      <x v="54"/>
    </i>
    <i r="1">
      <x v="56"/>
    </i>
    <i r="1">
      <x v="70"/>
    </i>
    <i r="1">
      <x v="71"/>
    </i>
    <i r="1">
      <x v="72"/>
    </i>
    <i r="1">
      <x v="81"/>
    </i>
    <i r="1">
      <x v="85"/>
    </i>
    <i r="1">
      <x v="90"/>
    </i>
    <i r="1">
      <x v="95"/>
    </i>
    <i r="1">
      <x v="101"/>
    </i>
    <i r="1">
      <x v="108"/>
    </i>
    <i r="1">
      <x v="112"/>
    </i>
    <i r="1">
      <x v="117"/>
    </i>
    <i r="1">
      <x v="118"/>
    </i>
    <i r="1">
      <x v="121"/>
    </i>
    <i r="1">
      <x v="123"/>
    </i>
    <i>
      <x v="10"/>
    </i>
    <i r="1">
      <x v="14"/>
    </i>
    <i r="1">
      <x v="15"/>
    </i>
    <i r="1">
      <x v="73"/>
    </i>
    <i r="1">
      <x v="74"/>
    </i>
    <i r="1">
      <x v="75"/>
    </i>
    <i r="1">
      <x v="76"/>
    </i>
    <i r="1">
      <x v="131"/>
    </i>
    <i>
      <x v="11"/>
    </i>
    <i r="1">
      <x/>
    </i>
    <i r="1">
      <x v="34"/>
    </i>
    <i r="1">
      <x v="39"/>
    </i>
    <i r="1">
      <x v="93"/>
    </i>
    <i r="1">
      <x v="94"/>
    </i>
    <i r="1">
      <x v="100"/>
    </i>
    <i r="1">
      <x v="104"/>
    </i>
    <i r="1">
      <x v="133"/>
    </i>
    <i>
      <x v="12"/>
    </i>
    <i r="1">
      <x v="55"/>
    </i>
    <i r="1">
      <x v="91"/>
    </i>
    <i r="1">
      <x v="92"/>
    </i>
    <i>
      <x v="13"/>
    </i>
    <i r="1">
      <x v="1"/>
    </i>
    <i r="1">
      <x v="96"/>
    </i>
    <i r="1">
      <x v="97"/>
    </i>
    <i r="1">
      <x v="98"/>
    </i>
    <i>
      <x v="14"/>
    </i>
    <i r="1">
      <x v="33"/>
    </i>
    <i r="1">
      <x v="69"/>
    </i>
    <i r="1">
      <x v="102"/>
    </i>
    <i r="1">
      <x v="105"/>
    </i>
    <i r="1">
      <x v="109"/>
    </i>
    <i r="1">
      <x v="116"/>
    </i>
    <i r="1">
      <x v="119"/>
    </i>
    <i r="1">
      <x v="120"/>
    </i>
    <i r="1">
      <x v="124"/>
    </i>
    <i r="1">
      <x v="127"/>
    </i>
    <i r="1">
      <x v="130"/>
    </i>
    <i>
      <x v="15"/>
    </i>
    <i r="1">
      <x v="2"/>
    </i>
    <i r="1">
      <x v="5"/>
    </i>
    <i r="1">
      <x v="18"/>
    </i>
    <i r="1">
      <x v="26"/>
    </i>
    <i r="1">
      <x v="44"/>
    </i>
    <i r="1">
      <x v="53"/>
    </i>
    <i r="1">
      <x v="77"/>
    </i>
    <i r="1">
      <x v="83"/>
    </i>
    <i r="1">
      <x v="88"/>
    </i>
    <i r="1">
      <x v="126"/>
    </i>
    <i r="1">
      <x v="129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BUDGET 16-17" fld="12" baseField="11" baseItem="48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0"/>
  <sheetViews>
    <sheetView workbookViewId="0">
      <pane ySplit="2" topLeftCell="A384" activePane="bottomLeft" state="frozen"/>
      <selection pane="bottomLeft" activeCell="O408" sqref="O408"/>
    </sheetView>
  </sheetViews>
  <sheetFormatPr defaultRowHeight="12.75"/>
  <cols>
    <col min="1" max="1" width="9" style="1" customWidth="1"/>
    <col min="2" max="2" width="19.25" style="1" customWidth="1"/>
    <col min="3" max="3" width="9" style="1" customWidth="1"/>
    <col min="4" max="4" width="24.875" style="1" customWidth="1"/>
    <col min="5" max="5" width="9" style="12" customWidth="1"/>
    <col min="6" max="6" width="14.5" style="1" customWidth="1"/>
    <col min="7" max="7" width="9" style="1" customWidth="1"/>
    <col min="8" max="8" width="18.625" style="1" customWidth="1"/>
    <col min="9" max="9" width="9" style="1" customWidth="1"/>
    <col min="10" max="10" width="22.75" style="1" customWidth="1"/>
    <col min="11" max="11" width="9" style="23" customWidth="1"/>
    <col min="12" max="12" width="33.5" style="1" customWidth="1"/>
    <col min="13" max="14" width="14.125" style="16" customWidth="1"/>
    <col min="15" max="15" width="17.5" style="1" bestFit="1" customWidth="1"/>
    <col min="16" max="16384" width="9" style="1"/>
  </cols>
  <sheetData>
    <row r="1" spans="1:15">
      <c r="A1" s="2" t="s">
        <v>0</v>
      </c>
      <c r="C1" s="2" t="s">
        <v>392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5" t="s">
        <v>5</v>
      </c>
      <c r="F2" s="2" t="s">
        <v>6</v>
      </c>
      <c r="G2" s="2" t="s">
        <v>7</v>
      </c>
      <c r="H2" s="2" t="s">
        <v>6</v>
      </c>
      <c r="I2" s="2" t="s">
        <v>8</v>
      </c>
      <c r="J2" s="2" t="s">
        <v>386</v>
      </c>
      <c r="K2" s="25" t="s">
        <v>9</v>
      </c>
      <c r="L2" s="2" t="s">
        <v>10</v>
      </c>
      <c r="M2" s="16" t="s">
        <v>359</v>
      </c>
      <c r="N2" s="16" t="s">
        <v>549</v>
      </c>
      <c r="O2" s="1" t="s">
        <v>367</v>
      </c>
    </row>
    <row r="3" spans="1:15">
      <c r="A3" s="6">
        <v>10</v>
      </c>
      <c r="B3" s="1" t="s">
        <v>105</v>
      </c>
      <c r="C3" s="6">
        <v>115</v>
      </c>
      <c r="D3" s="1" t="s">
        <v>106</v>
      </c>
      <c r="E3" s="12" t="s">
        <v>11</v>
      </c>
      <c r="F3" s="1" t="s">
        <v>107</v>
      </c>
      <c r="G3" s="1" t="s">
        <v>12</v>
      </c>
      <c r="I3" s="6">
        <v>124</v>
      </c>
      <c r="J3" s="1" t="str">
        <f>VLOOKUP(BUDGET!K3,IE!$A$2:$C$132,3,FALSE)</f>
        <v>Grants, Subsidies, Contributions &amp; Donations</v>
      </c>
      <c r="K3" s="24">
        <v>181</v>
      </c>
      <c r="L3" s="1" t="s">
        <v>108</v>
      </c>
      <c r="M3" s="17">
        <v>0</v>
      </c>
      <c r="N3" s="17"/>
      <c r="O3" s="1" t="s">
        <v>368</v>
      </c>
    </row>
    <row r="4" spans="1:15">
      <c r="A4" s="6">
        <v>10</v>
      </c>
      <c r="B4" s="1" t="s">
        <v>105</v>
      </c>
      <c r="C4" s="6">
        <v>115</v>
      </c>
      <c r="D4" s="1" t="s">
        <v>106</v>
      </c>
      <c r="E4" s="12" t="s">
        <v>13</v>
      </c>
      <c r="G4" s="6">
        <v>115</v>
      </c>
      <c r="H4" s="1" t="s">
        <v>109</v>
      </c>
      <c r="I4" s="6">
        <v>250</v>
      </c>
      <c r="J4" s="1" t="str">
        <f>VLOOKUP(BUDGET!K4,IE!$A$2:$C$132,3,FALSE)</f>
        <v>Materials &amp; Services</v>
      </c>
      <c r="K4" s="24">
        <v>335</v>
      </c>
      <c r="L4" s="1" t="s">
        <v>110</v>
      </c>
      <c r="M4" s="17">
        <v>0</v>
      </c>
      <c r="N4" s="17"/>
      <c r="O4" s="1" t="s">
        <v>368</v>
      </c>
    </row>
    <row r="5" spans="1:15">
      <c r="A5" s="6">
        <v>10</v>
      </c>
      <c r="B5" s="1" t="s">
        <v>105</v>
      </c>
      <c r="C5" s="6">
        <v>115</v>
      </c>
      <c r="D5" s="1" t="s">
        <v>106</v>
      </c>
      <c r="E5" s="12" t="s">
        <v>13</v>
      </c>
      <c r="G5" s="6">
        <v>115</v>
      </c>
      <c r="H5" s="1" t="s">
        <v>109</v>
      </c>
      <c r="I5" s="6">
        <v>250</v>
      </c>
      <c r="J5" s="1" t="str">
        <f>VLOOKUP(BUDGET!K5,IE!$A$2:$C$132,3,FALSE)</f>
        <v>Materials &amp; Services</v>
      </c>
      <c r="K5" s="24">
        <v>358</v>
      </c>
      <c r="L5" s="1" t="s">
        <v>111</v>
      </c>
      <c r="M5" s="17">
        <v>0</v>
      </c>
      <c r="N5" s="17"/>
      <c r="O5" s="1" t="s">
        <v>368</v>
      </c>
    </row>
    <row r="6" spans="1:15">
      <c r="A6" s="6">
        <v>10</v>
      </c>
      <c r="B6" s="1" t="s">
        <v>105</v>
      </c>
      <c r="C6" s="6">
        <v>115</v>
      </c>
      <c r="D6" s="1" t="s">
        <v>106</v>
      </c>
      <c r="E6" s="12" t="s">
        <v>13</v>
      </c>
      <c r="G6" s="6">
        <v>115</v>
      </c>
      <c r="H6" s="1" t="s">
        <v>109</v>
      </c>
      <c r="I6" s="6">
        <v>278</v>
      </c>
      <c r="J6" s="1" t="str">
        <f>VLOOKUP(BUDGET!K6,IE!$A$2:$C$132,3,FALSE)</f>
        <v>Materials &amp; Services</v>
      </c>
      <c r="K6" s="24">
        <v>353</v>
      </c>
      <c r="L6" s="1" t="s">
        <v>112</v>
      </c>
      <c r="M6" s="17">
        <v>0</v>
      </c>
      <c r="N6" s="17"/>
      <c r="O6" s="1" t="s">
        <v>368</v>
      </c>
    </row>
    <row r="7" spans="1:15">
      <c r="A7" s="6">
        <v>10</v>
      </c>
      <c r="B7" s="1" t="s">
        <v>105</v>
      </c>
      <c r="C7" s="6">
        <v>140</v>
      </c>
      <c r="D7" s="1" t="s">
        <v>113</v>
      </c>
      <c r="E7" s="12" t="s">
        <v>14</v>
      </c>
      <c r="F7" s="1" t="s">
        <v>114</v>
      </c>
      <c r="G7" s="1" t="s">
        <v>12</v>
      </c>
      <c r="I7" s="6">
        <v>124</v>
      </c>
      <c r="J7" s="1" t="str">
        <f>VLOOKUP(BUDGET!K7,IE!$A$2:$C$132,3,FALSE)</f>
        <v>Grants, Subsidies, Contributions &amp; Donations</v>
      </c>
      <c r="K7" s="24">
        <v>180</v>
      </c>
      <c r="L7" s="1" t="s">
        <v>116</v>
      </c>
      <c r="M7" s="18">
        <v>-30000</v>
      </c>
      <c r="N7" s="18"/>
      <c r="O7" s="1" t="s">
        <v>369</v>
      </c>
    </row>
    <row r="8" spans="1:15">
      <c r="A8" s="6">
        <v>10</v>
      </c>
      <c r="B8" s="1" t="s">
        <v>105</v>
      </c>
      <c r="C8" s="6">
        <v>140</v>
      </c>
      <c r="D8" s="1" t="s">
        <v>113</v>
      </c>
      <c r="E8" s="12" t="s">
        <v>14</v>
      </c>
      <c r="F8" s="1" t="s">
        <v>114</v>
      </c>
      <c r="G8" s="1" t="s">
        <v>12</v>
      </c>
      <c r="I8" s="6">
        <v>124</v>
      </c>
      <c r="J8" s="1" t="str">
        <f>VLOOKUP(BUDGET!K8,IE!$A$2:$C$132,3,FALSE)</f>
        <v>Grants, Subsidies, Contributions &amp; Donations</v>
      </c>
      <c r="K8" s="24">
        <v>181</v>
      </c>
      <c r="L8" s="1" t="s">
        <v>108</v>
      </c>
      <c r="M8" s="18">
        <v>-70000</v>
      </c>
      <c r="N8" s="18"/>
    </row>
    <row r="9" spans="1:15">
      <c r="A9" s="6">
        <v>10</v>
      </c>
      <c r="B9" s="1" t="s">
        <v>105</v>
      </c>
      <c r="C9" s="6">
        <v>140</v>
      </c>
      <c r="D9" s="1" t="s">
        <v>113</v>
      </c>
      <c r="E9" s="12" t="s">
        <v>15</v>
      </c>
      <c r="G9" s="6">
        <v>140</v>
      </c>
      <c r="H9" s="1" t="s">
        <v>113</v>
      </c>
      <c r="I9" s="6">
        <v>201</v>
      </c>
      <c r="J9" s="1" t="str">
        <f>VLOOKUP(BUDGET!K9,IE!$A$2:$C$132,3,FALSE)</f>
        <v>Salaries &amp; Wages</v>
      </c>
      <c r="K9" s="24">
        <v>210</v>
      </c>
      <c r="L9" s="1" t="s">
        <v>117</v>
      </c>
      <c r="M9" s="19">
        <v>52700</v>
      </c>
      <c r="N9" s="19"/>
      <c r="O9" s="1" t="s">
        <v>393</v>
      </c>
    </row>
    <row r="10" spans="1:15">
      <c r="A10" s="6">
        <v>10</v>
      </c>
      <c r="B10" s="1" t="s">
        <v>105</v>
      </c>
      <c r="C10" s="6">
        <v>140</v>
      </c>
      <c r="D10" s="1" t="s">
        <v>113</v>
      </c>
      <c r="E10" s="12" t="s">
        <v>15</v>
      </c>
      <c r="G10" s="6">
        <v>140</v>
      </c>
      <c r="H10" s="1" t="s">
        <v>113</v>
      </c>
      <c r="I10" s="6">
        <v>204</v>
      </c>
      <c r="J10" s="1" t="str">
        <f>VLOOKUP(BUDGET!K10,IE!$A$2:$C$132,3,FALSE)</f>
        <v>Salaries &amp; Wages</v>
      </c>
      <c r="K10" s="24">
        <v>240</v>
      </c>
      <c r="L10" s="1" t="s">
        <v>118</v>
      </c>
      <c r="M10" s="19">
        <f>M9*12%</f>
        <v>6324</v>
      </c>
      <c r="N10" s="19"/>
    </row>
    <row r="11" spans="1:15">
      <c r="A11" s="6">
        <v>10</v>
      </c>
      <c r="B11" s="1" t="s">
        <v>105</v>
      </c>
      <c r="C11" s="6">
        <v>140</v>
      </c>
      <c r="D11" s="1" t="s">
        <v>113</v>
      </c>
      <c r="E11" s="12" t="s">
        <v>15</v>
      </c>
      <c r="G11" s="6">
        <v>140</v>
      </c>
      <c r="H11" s="1" t="s">
        <v>113</v>
      </c>
      <c r="I11" s="6">
        <v>205</v>
      </c>
      <c r="J11" s="1" t="str">
        <f>VLOOKUP(BUDGET!K11,IE!$A$2:$C$132,3,FALSE)</f>
        <v>Salaries &amp; Wages</v>
      </c>
      <c r="K11" s="24">
        <v>256</v>
      </c>
      <c r="L11" s="1" t="s">
        <v>119</v>
      </c>
      <c r="M11" s="19">
        <f>(M9+M10)*1.5%</f>
        <v>885.36</v>
      </c>
      <c r="N11" s="19"/>
    </row>
    <row r="12" spans="1:15">
      <c r="A12" s="6">
        <v>10</v>
      </c>
      <c r="B12" s="1" t="s">
        <v>105</v>
      </c>
      <c r="C12" s="6">
        <v>140</v>
      </c>
      <c r="D12" s="1" t="s">
        <v>113</v>
      </c>
      <c r="E12" s="12" t="s">
        <v>15</v>
      </c>
      <c r="G12" s="6">
        <v>140</v>
      </c>
      <c r="H12" s="1" t="s">
        <v>113</v>
      </c>
      <c r="I12" s="6">
        <v>250</v>
      </c>
      <c r="J12" s="1" t="str">
        <f>VLOOKUP(BUDGET!K12,IE!$A$2:$C$132,3,FALSE)</f>
        <v>Materials &amp; Services</v>
      </c>
      <c r="K12" s="24">
        <v>317</v>
      </c>
      <c r="L12" s="1" t="s">
        <v>120</v>
      </c>
      <c r="M12" s="19">
        <v>6000</v>
      </c>
      <c r="N12" s="19"/>
    </row>
    <row r="13" spans="1:15">
      <c r="A13" s="6">
        <v>10</v>
      </c>
      <c r="B13" s="1" t="s">
        <v>105</v>
      </c>
      <c r="C13" s="6">
        <v>140</v>
      </c>
      <c r="D13" s="1" t="s">
        <v>113</v>
      </c>
      <c r="E13" s="12" t="s">
        <v>15</v>
      </c>
      <c r="G13" s="6">
        <v>140</v>
      </c>
      <c r="H13" s="1" t="s">
        <v>113</v>
      </c>
      <c r="I13" s="6">
        <v>250</v>
      </c>
      <c r="J13" s="1" t="str">
        <f>VLOOKUP(BUDGET!K13,IE!$A$2:$C$132,3,FALSE)</f>
        <v>Materials &amp; Services</v>
      </c>
      <c r="K13" s="24">
        <v>335</v>
      </c>
      <c r="L13" s="1" t="s">
        <v>110</v>
      </c>
      <c r="M13" s="19">
        <v>700</v>
      </c>
      <c r="N13" s="19"/>
    </row>
    <row r="14" spans="1:15">
      <c r="A14" s="6">
        <v>10</v>
      </c>
      <c r="B14" s="1" t="s">
        <v>105</v>
      </c>
      <c r="C14" s="6">
        <v>140</v>
      </c>
      <c r="D14" s="1" t="s">
        <v>113</v>
      </c>
      <c r="E14" s="12" t="s">
        <v>15</v>
      </c>
      <c r="G14" s="6">
        <v>140</v>
      </c>
      <c r="H14" s="1" t="s">
        <v>113</v>
      </c>
      <c r="I14" s="6">
        <v>250</v>
      </c>
      <c r="J14" s="1" t="str">
        <f>VLOOKUP(BUDGET!K14,IE!$A$2:$C$132,3,FALSE)</f>
        <v>Materials &amp; Services</v>
      </c>
      <c r="K14" s="23">
        <v>353</v>
      </c>
      <c r="L14" s="1" t="s">
        <v>112</v>
      </c>
      <c r="M14" s="19">
        <v>21591</v>
      </c>
      <c r="N14" s="19"/>
      <c r="O14" s="7" t="s">
        <v>428</v>
      </c>
    </row>
    <row r="15" spans="1:15">
      <c r="A15" s="6">
        <v>10</v>
      </c>
      <c r="B15" s="1" t="s">
        <v>105</v>
      </c>
      <c r="C15" s="6">
        <v>140</v>
      </c>
      <c r="D15" s="1" t="s">
        <v>113</v>
      </c>
      <c r="E15" s="12" t="s">
        <v>15</v>
      </c>
      <c r="G15" s="6">
        <v>140</v>
      </c>
      <c r="H15" s="1" t="s">
        <v>113</v>
      </c>
      <c r="I15" s="6">
        <v>250</v>
      </c>
      <c r="J15" s="1" t="str">
        <f>VLOOKUP(BUDGET!K15,IE!$A$2:$C$132,3,FALSE)</f>
        <v>Materials &amp; Services</v>
      </c>
      <c r="K15" s="24">
        <v>350</v>
      </c>
      <c r="L15" s="1" t="s">
        <v>121</v>
      </c>
      <c r="M15" s="19">
        <v>1500</v>
      </c>
      <c r="N15" s="19"/>
    </row>
    <row r="16" spans="1:15">
      <c r="A16" s="6">
        <v>10</v>
      </c>
      <c r="B16" s="1" t="s">
        <v>105</v>
      </c>
      <c r="C16" s="6">
        <v>140</v>
      </c>
      <c r="D16" s="1" t="s">
        <v>113</v>
      </c>
      <c r="E16" s="12" t="s">
        <v>15</v>
      </c>
      <c r="G16" s="6">
        <v>140</v>
      </c>
      <c r="H16" s="1" t="s">
        <v>113</v>
      </c>
      <c r="I16" s="6">
        <v>250</v>
      </c>
      <c r="J16" s="1" t="str">
        <f>VLOOKUP(BUDGET!K16,IE!$A$2:$C$132,3,FALSE)</f>
        <v>Materials &amp; Services</v>
      </c>
      <c r="K16" s="24">
        <v>369</v>
      </c>
      <c r="L16" s="1" t="s">
        <v>123</v>
      </c>
      <c r="M16" s="19">
        <v>800</v>
      </c>
      <c r="N16" s="19"/>
    </row>
    <row r="17" spans="1:15">
      <c r="A17" s="6">
        <v>10</v>
      </c>
      <c r="B17" s="1" t="s">
        <v>105</v>
      </c>
      <c r="C17" s="6">
        <v>140</v>
      </c>
      <c r="D17" s="1" t="s">
        <v>113</v>
      </c>
      <c r="E17" s="12" t="s">
        <v>15</v>
      </c>
      <c r="G17" s="6">
        <v>140</v>
      </c>
      <c r="H17" s="1" t="s">
        <v>113</v>
      </c>
      <c r="I17" s="6">
        <v>275</v>
      </c>
      <c r="J17" s="1" t="str">
        <f>VLOOKUP(BUDGET!K17,IE!$A$2:$C$132,3,FALSE)</f>
        <v>Materials &amp; Services</v>
      </c>
      <c r="K17" s="24">
        <v>373</v>
      </c>
      <c r="L17" s="1" t="s">
        <v>124</v>
      </c>
      <c r="M17" s="19">
        <v>2500</v>
      </c>
      <c r="N17" s="19"/>
    </row>
    <row r="18" spans="1:15">
      <c r="A18" s="6">
        <v>10</v>
      </c>
      <c r="B18" s="1" t="s">
        <v>105</v>
      </c>
      <c r="C18" s="6">
        <v>140</v>
      </c>
      <c r="D18" s="1" t="s">
        <v>113</v>
      </c>
      <c r="E18" s="12" t="s">
        <v>15</v>
      </c>
      <c r="G18" s="6">
        <v>140</v>
      </c>
      <c r="H18" s="1" t="s">
        <v>113</v>
      </c>
      <c r="I18" s="6">
        <v>900</v>
      </c>
      <c r="J18" s="1" t="str">
        <f>VLOOKUP(BUDGET!K18,IE!$A$2:$C$132,3,FALSE)</f>
        <v>Internal Transfer</v>
      </c>
      <c r="K18" s="24">
        <v>910</v>
      </c>
      <c r="L18" s="1" t="s">
        <v>125</v>
      </c>
      <c r="M18" s="19">
        <v>7000</v>
      </c>
      <c r="N18" s="19"/>
    </row>
    <row r="19" spans="1:15">
      <c r="A19" s="6">
        <v>20</v>
      </c>
      <c r="B19" s="1" t="s">
        <v>257</v>
      </c>
      <c r="C19" s="6">
        <v>221</v>
      </c>
      <c r="D19" s="1" t="s">
        <v>130</v>
      </c>
      <c r="E19" s="12" t="s">
        <v>16</v>
      </c>
      <c r="F19" s="1" t="s">
        <v>131</v>
      </c>
      <c r="G19" s="1" t="s">
        <v>12</v>
      </c>
      <c r="I19" s="6">
        <v>112</v>
      </c>
      <c r="J19" s="1" t="str">
        <f>VLOOKUP(BUDGET!K19,IE!$A$2:$C$132,3,FALSE)</f>
        <v>Fees &amp; Charges</v>
      </c>
      <c r="K19" s="24">
        <v>123</v>
      </c>
      <c r="L19" s="1" t="s">
        <v>132</v>
      </c>
      <c r="M19" s="20">
        <v>-45000</v>
      </c>
      <c r="N19" s="20"/>
    </row>
    <row r="20" spans="1:15">
      <c r="A20" s="6">
        <v>20</v>
      </c>
      <c r="B20" s="1" t="s">
        <v>257</v>
      </c>
      <c r="C20" s="6">
        <v>221</v>
      </c>
      <c r="D20" s="1" t="s">
        <v>130</v>
      </c>
      <c r="E20" s="12" t="s">
        <v>16</v>
      </c>
      <c r="F20" s="1" t="s">
        <v>131</v>
      </c>
      <c r="G20" s="1" t="s">
        <v>12</v>
      </c>
      <c r="I20" s="6">
        <v>112</v>
      </c>
      <c r="J20" s="1" t="str">
        <f>VLOOKUP(BUDGET!K20,IE!$A$2:$C$132,3,FALSE)</f>
        <v>Fees &amp; Charges</v>
      </c>
      <c r="K20" s="24">
        <v>124</v>
      </c>
      <c r="L20" s="1" t="s">
        <v>133</v>
      </c>
      <c r="M20" s="20">
        <f>M29*-5.75%</f>
        <v>-8538.75</v>
      </c>
      <c r="N20" s="20"/>
      <c r="O20" s="7" t="s">
        <v>394</v>
      </c>
    </row>
    <row r="21" spans="1:15">
      <c r="A21" s="6">
        <v>20</v>
      </c>
      <c r="B21" s="1" t="s">
        <v>257</v>
      </c>
      <c r="C21" s="6">
        <v>221</v>
      </c>
      <c r="D21" s="1" t="s">
        <v>130</v>
      </c>
      <c r="E21" s="12" t="s">
        <v>16</v>
      </c>
      <c r="F21" s="1" t="s">
        <v>131</v>
      </c>
      <c r="G21" s="1" t="s">
        <v>12</v>
      </c>
      <c r="I21" s="6">
        <v>118</v>
      </c>
      <c r="J21" s="1" t="str">
        <f>VLOOKUP(BUDGET!K21,IE!$A$2:$C$132,3,FALSE)</f>
        <v>Sales Revenue</v>
      </c>
      <c r="K21" s="24">
        <v>172</v>
      </c>
      <c r="L21" s="1" t="s">
        <v>134</v>
      </c>
      <c r="M21" s="20">
        <v>-139961</v>
      </c>
      <c r="N21" s="20"/>
    </row>
    <row r="22" spans="1:15">
      <c r="A22" s="6">
        <v>20</v>
      </c>
      <c r="B22" s="1" t="s">
        <v>257</v>
      </c>
      <c r="C22" s="6">
        <v>221</v>
      </c>
      <c r="D22" s="1" t="s">
        <v>130</v>
      </c>
      <c r="E22" s="12" t="s">
        <v>16</v>
      </c>
      <c r="F22" s="1" t="s">
        <v>131</v>
      </c>
      <c r="G22" s="1" t="s">
        <v>12</v>
      </c>
      <c r="I22" s="6">
        <v>122</v>
      </c>
      <c r="J22" s="1" t="str">
        <f>VLOOKUP(BUDGET!K22,IE!$A$2:$C$132,3,FALSE)</f>
        <v>Sales Revenue</v>
      </c>
      <c r="K22" s="24">
        <v>162</v>
      </c>
      <c r="L22" s="1" t="s">
        <v>135</v>
      </c>
      <c r="M22" s="20">
        <v>-30000</v>
      </c>
      <c r="N22" s="20"/>
    </row>
    <row r="23" spans="1:15">
      <c r="A23" s="6">
        <v>20</v>
      </c>
      <c r="B23" s="1" t="s">
        <v>257</v>
      </c>
      <c r="C23" s="6">
        <v>221</v>
      </c>
      <c r="D23" s="1" t="s">
        <v>130</v>
      </c>
      <c r="E23" s="12" t="s">
        <v>17</v>
      </c>
      <c r="G23" s="6">
        <v>221</v>
      </c>
      <c r="H23" s="1" t="s">
        <v>130</v>
      </c>
      <c r="I23" s="6">
        <v>201</v>
      </c>
      <c r="J23" s="1" t="str">
        <f>VLOOKUP(BUDGET!K23,IE!$A$2:$C$132,3,FALSE)</f>
        <v>Salaries &amp; Wages</v>
      </c>
      <c r="K23" s="24">
        <v>210</v>
      </c>
      <c r="L23" s="1" t="s">
        <v>117</v>
      </c>
      <c r="M23" s="21">
        <v>74267</v>
      </c>
      <c r="N23" s="21"/>
      <c r="O23" s="1" t="s">
        <v>425</v>
      </c>
    </row>
    <row r="24" spans="1:15">
      <c r="A24" s="6">
        <v>20</v>
      </c>
      <c r="B24" s="1" t="s">
        <v>257</v>
      </c>
      <c r="C24" s="6">
        <v>221</v>
      </c>
      <c r="D24" s="1" t="s">
        <v>130</v>
      </c>
      <c r="E24" s="12" t="s">
        <v>17</v>
      </c>
      <c r="G24" s="6">
        <v>221</v>
      </c>
      <c r="H24" s="1" t="s">
        <v>130</v>
      </c>
      <c r="I24" s="6">
        <v>204</v>
      </c>
      <c r="J24" s="1" t="str">
        <f>VLOOKUP(BUDGET!K24,IE!$A$2:$C$132,3,FALSE)</f>
        <v>Salaries &amp; Wages</v>
      </c>
      <c r="K24" s="24">
        <v>240</v>
      </c>
      <c r="L24" s="1" t="s">
        <v>118</v>
      </c>
      <c r="M24" s="21">
        <f>M23*12%</f>
        <v>8912.0399999999991</v>
      </c>
      <c r="N24" s="21"/>
    </row>
    <row r="25" spans="1:15">
      <c r="A25" s="6">
        <v>20</v>
      </c>
      <c r="B25" s="1" t="s">
        <v>257</v>
      </c>
      <c r="C25" s="6">
        <v>221</v>
      </c>
      <c r="D25" s="1" t="s">
        <v>130</v>
      </c>
      <c r="E25" s="12" t="s">
        <v>17</v>
      </c>
      <c r="G25" s="6">
        <v>221</v>
      </c>
      <c r="H25" s="1" t="s">
        <v>130</v>
      </c>
      <c r="I25" s="6">
        <v>205</v>
      </c>
      <c r="J25" s="1" t="str">
        <f>VLOOKUP(BUDGET!K25,IE!$A$2:$C$132,3,FALSE)</f>
        <v>Salaries &amp; Wages</v>
      </c>
      <c r="K25" s="24">
        <v>253</v>
      </c>
      <c r="L25" s="1" t="s">
        <v>136</v>
      </c>
      <c r="M25" s="21">
        <v>6000</v>
      </c>
      <c r="N25" s="21"/>
    </row>
    <row r="26" spans="1:15">
      <c r="A26" s="6">
        <v>20</v>
      </c>
      <c r="B26" s="1" t="s">
        <v>257</v>
      </c>
      <c r="C26" s="6">
        <v>221</v>
      </c>
      <c r="D26" s="1" t="s">
        <v>130</v>
      </c>
      <c r="E26" s="12" t="s">
        <v>17</v>
      </c>
      <c r="G26" s="6">
        <v>221</v>
      </c>
      <c r="H26" s="1" t="s">
        <v>130</v>
      </c>
      <c r="I26" s="6">
        <v>205</v>
      </c>
      <c r="J26" s="1" t="str">
        <f>VLOOKUP(BUDGET!K26,IE!$A$2:$C$132,3,FALSE)</f>
        <v>Salaries &amp; Wages</v>
      </c>
      <c r="K26" s="24">
        <v>255</v>
      </c>
      <c r="L26" s="1" t="s">
        <v>138</v>
      </c>
      <c r="M26" s="22">
        <v>250</v>
      </c>
      <c r="N26" s="22"/>
    </row>
    <row r="27" spans="1:15">
      <c r="A27" s="6">
        <v>20</v>
      </c>
      <c r="B27" s="1" t="s">
        <v>257</v>
      </c>
      <c r="C27" s="6">
        <v>221</v>
      </c>
      <c r="D27" s="1" t="s">
        <v>130</v>
      </c>
      <c r="E27" s="12" t="s">
        <v>17</v>
      </c>
      <c r="G27" s="6">
        <v>221</v>
      </c>
      <c r="H27" s="1" t="s">
        <v>130</v>
      </c>
      <c r="I27" s="6">
        <v>205</v>
      </c>
      <c r="J27" s="1" t="str">
        <f>VLOOKUP(BUDGET!K27,IE!$A$2:$C$132,3,FALSE)</f>
        <v>Salaries &amp; Wages</v>
      </c>
      <c r="K27" s="24">
        <v>256</v>
      </c>
      <c r="L27" s="1" t="s">
        <v>119</v>
      </c>
      <c r="M27" s="22">
        <f>(M23+M24)*1.5%</f>
        <v>1247.6855999999998</v>
      </c>
      <c r="N27" s="22"/>
    </row>
    <row r="28" spans="1:15">
      <c r="A28" s="6">
        <v>20</v>
      </c>
      <c r="B28" s="1" t="s">
        <v>257</v>
      </c>
      <c r="C28" s="6">
        <v>221</v>
      </c>
      <c r="D28" s="1" t="s">
        <v>130</v>
      </c>
      <c r="E28" s="12" t="s">
        <v>17</v>
      </c>
      <c r="G28" s="6">
        <v>221</v>
      </c>
      <c r="H28" s="1" t="s">
        <v>130</v>
      </c>
      <c r="I28" s="6">
        <v>211</v>
      </c>
      <c r="J28" s="1" t="str">
        <f>VLOOKUP(BUDGET!K28,IE!$A$2:$C$132,3,FALSE)</f>
        <v>Costs of Goods</v>
      </c>
      <c r="K28" s="24">
        <v>284</v>
      </c>
      <c r="L28" s="1" t="s">
        <v>139</v>
      </c>
      <c r="M28" s="22">
        <v>25000</v>
      </c>
      <c r="N28" s="22"/>
      <c r="O28" s="7"/>
    </row>
    <row r="29" spans="1:15">
      <c r="A29" s="6">
        <v>20</v>
      </c>
      <c r="B29" s="1" t="s">
        <v>257</v>
      </c>
      <c r="C29" s="6">
        <v>221</v>
      </c>
      <c r="D29" s="1" t="s">
        <v>130</v>
      </c>
      <c r="E29" s="12" t="s">
        <v>17</v>
      </c>
      <c r="G29" s="6">
        <v>221</v>
      </c>
      <c r="H29" s="1" t="s">
        <v>130</v>
      </c>
      <c r="I29" s="6">
        <v>211</v>
      </c>
      <c r="J29" s="1" t="str">
        <f>VLOOKUP(BUDGET!K29,IE!$A$2:$C$132,3,FALSE)</f>
        <v>Costs of Goods</v>
      </c>
      <c r="K29" s="24">
        <v>286</v>
      </c>
      <c r="L29" s="1" t="s">
        <v>140</v>
      </c>
      <c r="M29" s="22">
        <v>148500</v>
      </c>
      <c r="N29" s="22"/>
    </row>
    <row r="30" spans="1:15">
      <c r="A30" s="6">
        <v>20</v>
      </c>
      <c r="B30" s="1" t="s">
        <v>257</v>
      </c>
      <c r="C30" s="6">
        <v>221</v>
      </c>
      <c r="D30" s="1" t="s">
        <v>130</v>
      </c>
      <c r="E30" s="12" t="s">
        <v>17</v>
      </c>
      <c r="G30" s="6">
        <v>221</v>
      </c>
      <c r="H30" s="1" t="s">
        <v>130</v>
      </c>
      <c r="I30" s="6">
        <v>250</v>
      </c>
      <c r="J30" s="1" t="str">
        <f>VLOOKUP(BUDGET!K30,IE!$A$2:$C$132,3,FALSE)</f>
        <v>Materials &amp; Services</v>
      </c>
      <c r="K30" s="24">
        <v>335</v>
      </c>
      <c r="L30" s="1" t="s">
        <v>110</v>
      </c>
      <c r="M30" s="22">
        <v>300</v>
      </c>
      <c r="N30" s="22"/>
    </row>
    <row r="31" spans="1:15">
      <c r="A31" s="6">
        <v>20</v>
      </c>
      <c r="B31" s="1" t="s">
        <v>257</v>
      </c>
      <c r="C31" s="6">
        <v>221</v>
      </c>
      <c r="D31" s="1" t="s">
        <v>130</v>
      </c>
      <c r="E31" s="12" t="s">
        <v>17</v>
      </c>
      <c r="G31" s="6">
        <v>221</v>
      </c>
      <c r="H31" s="1" t="s">
        <v>130</v>
      </c>
      <c r="I31" s="6">
        <v>250</v>
      </c>
      <c r="J31" s="1" t="str">
        <f>VLOOKUP(BUDGET!K31,IE!$A$2:$C$132,3,FALSE)</f>
        <v>Materials &amp; Services</v>
      </c>
      <c r="K31" s="24">
        <v>350</v>
      </c>
      <c r="L31" s="1" t="s">
        <v>121</v>
      </c>
      <c r="M31" s="22">
        <v>1000</v>
      </c>
      <c r="N31" s="22"/>
    </row>
    <row r="32" spans="1:15">
      <c r="A32" s="6">
        <v>20</v>
      </c>
      <c r="B32" s="1" t="s">
        <v>257</v>
      </c>
      <c r="C32" s="6">
        <v>221</v>
      </c>
      <c r="D32" s="1" t="s">
        <v>130</v>
      </c>
      <c r="E32" s="12" t="s">
        <v>17</v>
      </c>
      <c r="G32" s="6">
        <v>221</v>
      </c>
      <c r="H32" s="1" t="s">
        <v>130</v>
      </c>
      <c r="I32" s="6">
        <v>250</v>
      </c>
      <c r="J32" s="1" t="str">
        <f>VLOOKUP(BUDGET!K32,IE!$A$2:$C$132,3,FALSE)</f>
        <v>Materials &amp; Services</v>
      </c>
      <c r="K32" s="24">
        <v>364</v>
      </c>
      <c r="L32" s="1" t="s">
        <v>141</v>
      </c>
      <c r="M32" s="22">
        <v>100</v>
      </c>
      <c r="N32" s="22"/>
    </row>
    <row r="33" spans="1:15">
      <c r="A33" s="6">
        <v>20</v>
      </c>
      <c r="B33" s="1" t="s">
        <v>257</v>
      </c>
      <c r="C33" s="6">
        <v>221</v>
      </c>
      <c r="D33" s="1" t="s">
        <v>130</v>
      </c>
      <c r="E33" s="12" t="s">
        <v>17</v>
      </c>
      <c r="G33" s="6">
        <v>221</v>
      </c>
      <c r="H33" s="1" t="s">
        <v>130</v>
      </c>
      <c r="I33" s="6">
        <v>250</v>
      </c>
      <c r="J33" s="1" t="str">
        <f>VLOOKUP(BUDGET!K33,IE!$A$2:$C$132,3,FALSE)</f>
        <v>Materials &amp; Services</v>
      </c>
      <c r="K33" s="24">
        <v>366</v>
      </c>
      <c r="L33" s="1" t="s">
        <v>142</v>
      </c>
      <c r="M33" s="22">
        <v>600</v>
      </c>
      <c r="N33" s="22"/>
    </row>
    <row r="34" spans="1:15">
      <c r="A34" s="6">
        <v>20</v>
      </c>
      <c r="B34" s="1" t="s">
        <v>257</v>
      </c>
      <c r="C34" s="6">
        <v>221</v>
      </c>
      <c r="D34" s="1" t="s">
        <v>130</v>
      </c>
      <c r="E34" s="12" t="s">
        <v>17</v>
      </c>
      <c r="G34" s="6">
        <v>221</v>
      </c>
      <c r="H34" s="1" t="s">
        <v>130</v>
      </c>
      <c r="I34" s="6">
        <v>250</v>
      </c>
      <c r="J34" s="1" t="str">
        <f>VLOOKUP(BUDGET!K34,IE!$A$2:$C$132,3,FALSE)</f>
        <v>Materials &amp; Services</v>
      </c>
      <c r="K34" s="24">
        <v>369</v>
      </c>
      <c r="L34" s="1" t="s">
        <v>123</v>
      </c>
      <c r="M34" s="22">
        <v>1500</v>
      </c>
      <c r="N34" s="22"/>
    </row>
    <row r="35" spans="1:15">
      <c r="A35" s="6">
        <v>20</v>
      </c>
      <c r="B35" s="1" t="s">
        <v>257</v>
      </c>
      <c r="C35" s="6">
        <v>221</v>
      </c>
      <c r="D35" s="1" t="s">
        <v>130</v>
      </c>
      <c r="E35" s="12" t="s">
        <v>17</v>
      </c>
      <c r="G35" s="6">
        <v>221</v>
      </c>
      <c r="H35" s="1" t="s">
        <v>130</v>
      </c>
      <c r="I35" s="6">
        <v>272</v>
      </c>
      <c r="J35" s="1" t="str">
        <f>VLOOKUP(BUDGET!K35,IE!$A$2:$C$132,3,FALSE)</f>
        <v>Property Expenses</v>
      </c>
      <c r="K35" s="24">
        <v>380</v>
      </c>
      <c r="L35" s="1" t="s">
        <v>127</v>
      </c>
      <c r="M35" s="22">
        <v>2000</v>
      </c>
      <c r="N35" s="22"/>
    </row>
    <row r="36" spans="1:15">
      <c r="A36" s="6">
        <v>20</v>
      </c>
      <c r="B36" s="1" t="s">
        <v>257</v>
      </c>
      <c r="C36" s="6">
        <v>221</v>
      </c>
      <c r="D36" s="1" t="s">
        <v>130</v>
      </c>
      <c r="E36" s="12" t="s">
        <v>17</v>
      </c>
      <c r="G36" s="6">
        <v>221</v>
      </c>
      <c r="H36" s="1" t="s">
        <v>130</v>
      </c>
      <c r="I36" s="6">
        <v>272</v>
      </c>
      <c r="J36" s="1" t="str">
        <f>VLOOKUP(BUDGET!K36,IE!$A$2:$C$132,3,FALSE)</f>
        <v>Property Expenses</v>
      </c>
      <c r="K36" s="24">
        <v>382</v>
      </c>
      <c r="L36" s="1" t="s">
        <v>144</v>
      </c>
      <c r="M36" s="22">
        <v>500</v>
      </c>
      <c r="N36" s="22"/>
    </row>
    <row r="37" spans="1:15">
      <c r="A37" s="6">
        <v>20</v>
      </c>
      <c r="B37" s="1" t="s">
        <v>257</v>
      </c>
      <c r="C37" s="6">
        <v>221</v>
      </c>
      <c r="D37" s="1" t="s">
        <v>130</v>
      </c>
      <c r="E37" s="12" t="s">
        <v>17</v>
      </c>
      <c r="G37" s="6">
        <v>221</v>
      </c>
      <c r="H37" s="1" t="s">
        <v>130</v>
      </c>
      <c r="I37" s="6">
        <v>900</v>
      </c>
      <c r="J37" s="1" t="str">
        <f>VLOOKUP(BUDGET!K37,IE!$A$2:$C$132,3,FALSE)</f>
        <v>Internal Transfer</v>
      </c>
      <c r="K37" s="24">
        <v>901</v>
      </c>
      <c r="L37" s="1" t="s">
        <v>146</v>
      </c>
      <c r="M37" s="22">
        <f>-M379</f>
        <v>-160</v>
      </c>
      <c r="N37" s="22"/>
    </row>
    <row r="38" spans="1:15">
      <c r="A38" s="6">
        <v>20</v>
      </c>
      <c r="B38" s="1" t="s">
        <v>257</v>
      </c>
      <c r="C38" s="6">
        <v>221</v>
      </c>
      <c r="D38" s="1" t="s">
        <v>130</v>
      </c>
      <c r="E38" s="12" t="s">
        <v>17</v>
      </c>
      <c r="G38" s="6">
        <v>221</v>
      </c>
      <c r="H38" s="1" t="s">
        <v>130</v>
      </c>
      <c r="I38" s="6">
        <v>900</v>
      </c>
      <c r="J38" s="1" t="str">
        <f>VLOOKUP(BUDGET!K38,IE!$A$2:$C$132,3,FALSE)</f>
        <v>Internal Transfer</v>
      </c>
      <c r="K38" s="24">
        <v>903</v>
      </c>
      <c r="L38" s="1" t="s">
        <v>147</v>
      </c>
      <c r="M38" s="22">
        <v>9600</v>
      </c>
      <c r="N38" s="22"/>
    </row>
    <row r="39" spans="1:15">
      <c r="A39" s="6">
        <v>20</v>
      </c>
      <c r="B39" s="1" t="s">
        <v>257</v>
      </c>
      <c r="C39" s="6">
        <v>221</v>
      </c>
      <c r="D39" s="1" t="s">
        <v>130</v>
      </c>
      <c r="E39" s="12" t="s">
        <v>17</v>
      </c>
      <c r="G39" s="6">
        <v>221</v>
      </c>
      <c r="H39" s="1" t="s">
        <v>130</v>
      </c>
      <c r="I39" s="6">
        <v>900</v>
      </c>
      <c r="J39" s="1" t="str">
        <f>VLOOKUP(BUDGET!K39,IE!$A$2:$C$132,3,FALSE)</f>
        <v>Internal Transfer</v>
      </c>
      <c r="K39" s="24">
        <v>905</v>
      </c>
      <c r="L39" s="1" t="s">
        <v>148</v>
      </c>
      <c r="M39" s="22">
        <v>2000</v>
      </c>
      <c r="N39" s="22"/>
    </row>
    <row r="40" spans="1:15">
      <c r="A40" s="6">
        <v>10</v>
      </c>
      <c r="B40" s="1" t="s">
        <v>105</v>
      </c>
      <c r="C40" s="6">
        <v>222</v>
      </c>
      <c r="D40" s="1" t="s">
        <v>149</v>
      </c>
      <c r="E40" s="12" t="s">
        <v>18</v>
      </c>
      <c r="F40" s="1" t="s">
        <v>150</v>
      </c>
      <c r="G40" s="1" t="s">
        <v>12</v>
      </c>
      <c r="I40" s="6">
        <v>124</v>
      </c>
      <c r="J40" s="1" t="str">
        <f>VLOOKUP(BUDGET!K40,IE!$A$2:$C$132,3,FALSE)</f>
        <v>Grants, Subsidies, Contributions &amp; Donations</v>
      </c>
      <c r="K40" s="24">
        <v>182</v>
      </c>
      <c r="L40" s="1" t="s">
        <v>151</v>
      </c>
      <c r="M40" s="20">
        <v>-41707.94</v>
      </c>
      <c r="N40" s="20"/>
    </row>
    <row r="41" spans="1:15">
      <c r="A41" s="6">
        <v>10</v>
      </c>
      <c r="B41" s="1" t="s">
        <v>105</v>
      </c>
      <c r="C41" s="6">
        <v>222</v>
      </c>
      <c r="D41" s="1" t="s">
        <v>149</v>
      </c>
      <c r="E41" s="12" t="s">
        <v>19</v>
      </c>
      <c r="G41" s="6">
        <v>222</v>
      </c>
      <c r="H41" s="1" t="s">
        <v>149</v>
      </c>
      <c r="I41" s="6">
        <v>201</v>
      </c>
      <c r="J41" s="1" t="str">
        <f>VLOOKUP(BUDGET!K41,IE!$A$2:$C$132,3,FALSE)</f>
        <v>Salaries &amp; Wages</v>
      </c>
      <c r="K41" s="24">
        <v>210</v>
      </c>
      <c r="L41" s="1" t="s">
        <v>117</v>
      </c>
      <c r="M41" s="21">
        <v>40052</v>
      </c>
      <c r="N41" s="21"/>
      <c r="O41" s="1" t="s">
        <v>395</v>
      </c>
    </row>
    <row r="42" spans="1:15">
      <c r="A42" s="6">
        <v>10</v>
      </c>
      <c r="B42" s="1" t="s">
        <v>105</v>
      </c>
      <c r="C42" s="6">
        <v>222</v>
      </c>
      <c r="D42" s="1" t="s">
        <v>149</v>
      </c>
      <c r="E42" s="12" t="s">
        <v>19</v>
      </c>
      <c r="G42" s="6">
        <v>222</v>
      </c>
      <c r="H42" s="1" t="s">
        <v>149</v>
      </c>
      <c r="I42" s="6">
        <v>204</v>
      </c>
      <c r="J42" s="1" t="str">
        <f>VLOOKUP(BUDGET!K42,IE!$A$2:$C$132,3,FALSE)</f>
        <v>Salaries &amp; Wages</v>
      </c>
      <c r="K42" s="24">
        <v>240</v>
      </c>
      <c r="L42" s="1" t="s">
        <v>118</v>
      </c>
      <c r="M42" s="22">
        <f>M41*12%</f>
        <v>4806.24</v>
      </c>
      <c r="N42" s="22"/>
    </row>
    <row r="43" spans="1:15">
      <c r="A43" s="6">
        <v>10</v>
      </c>
      <c r="B43" s="1" t="s">
        <v>105</v>
      </c>
      <c r="C43" s="6">
        <v>222</v>
      </c>
      <c r="D43" s="1" t="s">
        <v>149</v>
      </c>
      <c r="E43" s="12" t="s">
        <v>19</v>
      </c>
      <c r="G43" s="6">
        <v>222</v>
      </c>
      <c r="H43" s="1" t="s">
        <v>149</v>
      </c>
      <c r="I43" s="6">
        <v>205</v>
      </c>
      <c r="J43" s="1" t="str">
        <f>VLOOKUP(BUDGET!K43,IE!$A$2:$C$132,3,FALSE)</f>
        <v>Salaries &amp; Wages</v>
      </c>
      <c r="K43" s="24">
        <v>256</v>
      </c>
      <c r="L43" s="1" t="s">
        <v>119</v>
      </c>
      <c r="M43" s="22">
        <f>(M41+M42)*1.5%</f>
        <v>672.8735999999999</v>
      </c>
      <c r="N43" s="22"/>
    </row>
    <row r="44" spans="1:15">
      <c r="A44" s="6">
        <v>10</v>
      </c>
      <c r="B44" s="1" t="s">
        <v>105</v>
      </c>
      <c r="C44" s="6">
        <v>224</v>
      </c>
      <c r="D44" s="1" t="s">
        <v>152</v>
      </c>
      <c r="E44" s="12" t="s">
        <v>20</v>
      </c>
      <c r="F44" s="1" t="s">
        <v>153</v>
      </c>
      <c r="G44" s="1" t="s">
        <v>12</v>
      </c>
      <c r="I44" s="6">
        <v>113</v>
      </c>
      <c r="J44" s="1" t="str">
        <f>VLOOKUP(BUDGET!K44,IE!$A$2:$C$132,3,FALSE)</f>
        <v>Fees &amp; Charges</v>
      </c>
      <c r="K44" s="24">
        <v>131</v>
      </c>
      <c r="L44" s="1" t="s">
        <v>154</v>
      </c>
      <c r="M44" s="20">
        <v>-1500</v>
      </c>
      <c r="N44" s="20"/>
    </row>
    <row r="45" spans="1:15">
      <c r="A45" s="6">
        <v>10</v>
      </c>
      <c r="B45" s="1" t="s">
        <v>105</v>
      </c>
      <c r="C45" s="6">
        <v>224</v>
      </c>
      <c r="D45" s="1" t="s">
        <v>152</v>
      </c>
      <c r="E45" s="12" t="s">
        <v>21</v>
      </c>
      <c r="G45" s="6">
        <v>224</v>
      </c>
      <c r="H45" s="1" t="s">
        <v>155</v>
      </c>
      <c r="I45" s="6">
        <v>250</v>
      </c>
      <c r="J45" s="1" t="str">
        <f>VLOOKUP(BUDGET!K45,IE!$A$2:$C$132,3,FALSE)</f>
        <v>Materials &amp; Services</v>
      </c>
      <c r="K45" s="24">
        <v>335</v>
      </c>
      <c r="L45" s="1" t="s">
        <v>110</v>
      </c>
      <c r="M45" s="22">
        <v>100</v>
      </c>
      <c r="N45" s="22"/>
    </row>
    <row r="46" spans="1:15">
      <c r="A46" s="6">
        <v>10</v>
      </c>
      <c r="B46" s="1" t="s">
        <v>105</v>
      </c>
      <c r="C46" s="6">
        <v>224</v>
      </c>
      <c r="D46" s="1" t="s">
        <v>152</v>
      </c>
      <c r="E46" s="12" t="s">
        <v>21</v>
      </c>
      <c r="G46" s="6">
        <v>224</v>
      </c>
      <c r="H46" s="1" t="s">
        <v>155</v>
      </c>
      <c r="I46" s="6">
        <v>268</v>
      </c>
      <c r="J46" s="1" t="str">
        <f>VLOOKUP(BUDGET!K46,IE!$A$2:$C$132,3,FALSE)</f>
        <v>Motor Vehicle Expenses</v>
      </c>
      <c r="K46" s="24">
        <v>394</v>
      </c>
      <c r="L46" s="1" t="s">
        <v>158</v>
      </c>
      <c r="M46" s="22">
        <v>800</v>
      </c>
      <c r="N46" s="22"/>
    </row>
    <row r="47" spans="1:15">
      <c r="A47" s="6">
        <v>10</v>
      </c>
      <c r="B47" s="1" t="s">
        <v>105</v>
      </c>
      <c r="C47" s="6">
        <v>224</v>
      </c>
      <c r="D47" s="1" t="s">
        <v>152</v>
      </c>
      <c r="E47" s="12" t="s">
        <v>21</v>
      </c>
      <c r="G47" s="6">
        <v>224</v>
      </c>
      <c r="H47" s="1" t="s">
        <v>155</v>
      </c>
      <c r="I47" s="6">
        <v>268</v>
      </c>
      <c r="J47" s="1" t="str">
        <f>VLOOKUP(BUDGET!K47,IE!$A$2:$C$132,3,FALSE)</f>
        <v>Motor Vehicle Expenses</v>
      </c>
      <c r="K47" s="24">
        <v>395</v>
      </c>
      <c r="L47" s="1" t="s">
        <v>159</v>
      </c>
      <c r="M47" s="22">
        <v>250</v>
      </c>
      <c r="N47" s="22"/>
    </row>
    <row r="48" spans="1:15">
      <c r="A48" s="6">
        <v>10</v>
      </c>
      <c r="B48" s="1" t="s">
        <v>105</v>
      </c>
      <c r="C48" s="6">
        <v>224</v>
      </c>
      <c r="D48" s="1" t="s">
        <v>152</v>
      </c>
      <c r="E48" s="12" t="s">
        <v>21</v>
      </c>
      <c r="G48" s="6">
        <v>224</v>
      </c>
      <c r="H48" s="1" t="s">
        <v>155</v>
      </c>
      <c r="I48" s="6">
        <v>900</v>
      </c>
      <c r="J48" s="1" t="str">
        <f>VLOOKUP(BUDGET!K48,IE!$A$2:$C$132,3,FALSE)</f>
        <v>Internal Transfer</v>
      </c>
      <c r="K48" s="24">
        <v>906</v>
      </c>
      <c r="L48" s="1" t="s">
        <v>162</v>
      </c>
      <c r="M48" s="22">
        <v>350</v>
      </c>
      <c r="N48" s="22"/>
    </row>
    <row r="49" spans="1:15">
      <c r="A49" s="6">
        <v>10</v>
      </c>
      <c r="B49" s="1" t="s">
        <v>105</v>
      </c>
      <c r="C49" s="6">
        <v>225</v>
      </c>
      <c r="D49" s="1" t="s">
        <v>163</v>
      </c>
      <c r="E49" s="12" t="s">
        <v>22</v>
      </c>
      <c r="F49" s="1" t="s">
        <v>164</v>
      </c>
      <c r="G49" s="1" t="s">
        <v>12</v>
      </c>
      <c r="I49" s="6">
        <v>113</v>
      </c>
      <c r="J49" s="1" t="str">
        <f>VLOOKUP(BUDGET!K49,IE!$A$2:$C$132,3,FALSE)</f>
        <v>Fees &amp; Charges</v>
      </c>
      <c r="K49" s="24">
        <v>133</v>
      </c>
      <c r="L49" s="1" t="s">
        <v>165</v>
      </c>
      <c r="M49" s="20">
        <v>-2500</v>
      </c>
      <c r="N49" s="20"/>
    </row>
    <row r="50" spans="1:15">
      <c r="A50" s="6">
        <v>10</v>
      </c>
      <c r="B50" s="1" t="s">
        <v>105</v>
      </c>
      <c r="C50" s="6">
        <v>225</v>
      </c>
      <c r="D50" s="1" t="s">
        <v>163</v>
      </c>
      <c r="E50" s="12" t="s">
        <v>23</v>
      </c>
      <c r="G50" s="6">
        <v>225</v>
      </c>
      <c r="H50" s="1" t="s">
        <v>166</v>
      </c>
      <c r="I50" s="6">
        <v>250</v>
      </c>
      <c r="J50" s="1" t="str">
        <f>VLOOKUP(BUDGET!K50,IE!$A$2:$C$132,3,FALSE)</f>
        <v>Materials &amp; Services</v>
      </c>
      <c r="K50" s="24">
        <v>319</v>
      </c>
      <c r="L50" s="1" t="s">
        <v>167</v>
      </c>
      <c r="M50" s="22">
        <v>500</v>
      </c>
      <c r="N50" s="22"/>
    </row>
    <row r="51" spans="1:15">
      <c r="A51" s="6">
        <v>10</v>
      </c>
      <c r="B51" s="1" t="s">
        <v>105</v>
      </c>
      <c r="C51" s="6">
        <v>225</v>
      </c>
      <c r="D51" s="1" t="s">
        <v>163</v>
      </c>
      <c r="E51" s="12" t="s">
        <v>23</v>
      </c>
      <c r="G51" s="6">
        <v>225</v>
      </c>
      <c r="H51" s="1" t="s">
        <v>166</v>
      </c>
      <c r="I51" s="6">
        <v>250</v>
      </c>
      <c r="J51" s="1" t="str">
        <f>VLOOKUP(BUDGET!K51,IE!$A$2:$C$132,3,FALSE)</f>
        <v>Materials &amp; Services</v>
      </c>
      <c r="K51" s="24">
        <v>369</v>
      </c>
      <c r="L51" s="1" t="s">
        <v>123</v>
      </c>
      <c r="M51" s="22">
        <v>500</v>
      </c>
      <c r="N51" s="22"/>
    </row>
    <row r="52" spans="1:15">
      <c r="A52" s="6">
        <v>10</v>
      </c>
      <c r="B52" s="1" t="s">
        <v>105</v>
      </c>
      <c r="C52" s="6">
        <v>225</v>
      </c>
      <c r="D52" s="1" t="s">
        <v>163</v>
      </c>
      <c r="E52" s="12" t="s">
        <v>23</v>
      </c>
      <c r="G52" s="6">
        <v>225</v>
      </c>
      <c r="H52" s="1" t="s">
        <v>166</v>
      </c>
      <c r="I52" s="6">
        <v>270</v>
      </c>
      <c r="J52" s="1" t="str">
        <f>VLOOKUP(BUDGET!K52,IE!$A$2:$C$132,3,FALSE)</f>
        <v>Materials &amp; Services</v>
      </c>
      <c r="K52" s="24">
        <v>333</v>
      </c>
      <c r="L52" s="1" t="s">
        <v>169</v>
      </c>
      <c r="M52" s="22">
        <v>2500</v>
      </c>
      <c r="N52" s="22"/>
    </row>
    <row r="53" spans="1:15">
      <c r="A53" s="6">
        <v>10</v>
      </c>
      <c r="B53" s="1" t="s">
        <v>105</v>
      </c>
      <c r="C53" s="6">
        <v>225</v>
      </c>
      <c r="D53" s="1" t="s">
        <v>163</v>
      </c>
      <c r="E53" s="12" t="s">
        <v>23</v>
      </c>
      <c r="G53" s="6">
        <v>225</v>
      </c>
      <c r="H53" s="1" t="s">
        <v>166</v>
      </c>
      <c r="I53" s="6">
        <v>272</v>
      </c>
      <c r="J53" s="1" t="str">
        <f>VLOOKUP(BUDGET!K53,IE!$A$2:$C$132,3,FALSE)</f>
        <v>Property Expenses</v>
      </c>
      <c r="K53" s="24">
        <v>380</v>
      </c>
      <c r="L53" s="1" t="s">
        <v>127</v>
      </c>
      <c r="M53" s="22">
        <v>2500</v>
      </c>
      <c r="N53" s="22"/>
    </row>
    <row r="54" spans="1:15">
      <c r="A54" s="6">
        <v>10</v>
      </c>
      <c r="B54" s="1" t="s">
        <v>105</v>
      </c>
      <c r="C54" s="6">
        <v>225</v>
      </c>
      <c r="D54" s="1" t="s">
        <v>163</v>
      </c>
      <c r="E54" s="12" t="s">
        <v>23</v>
      </c>
      <c r="G54" s="6">
        <v>225</v>
      </c>
      <c r="H54" s="1" t="s">
        <v>166</v>
      </c>
      <c r="I54" s="6">
        <v>278</v>
      </c>
      <c r="J54" s="1" t="str">
        <f>VLOOKUP(BUDGET!K54,IE!$A$2:$C$132,3,FALSE)</f>
        <v>Materials &amp; Services</v>
      </c>
      <c r="K54" s="24">
        <v>353</v>
      </c>
      <c r="L54" s="1" t="s">
        <v>112</v>
      </c>
      <c r="M54" s="22">
        <v>500</v>
      </c>
      <c r="N54" s="22"/>
    </row>
    <row r="55" spans="1:15">
      <c r="A55" s="6">
        <v>10</v>
      </c>
      <c r="B55" s="1" t="s">
        <v>105</v>
      </c>
      <c r="C55" s="6">
        <v>226</v>
      </c>
      <c r="D55" s="1" t="s">
        <v>360</v>
      </c>
      <c r="E55" s="12" t="s">
        <v>24</v>
      </c>
      <c r="F55" s="1" t="s">
        <v>170</v>
      </c>
      <c r="G55" s="1" t="s">
        <v>12</v>
      </c>
      <c r="I55" s="6">
        <v>124</v>
      </c>
      <c r="J55" s="1" t="str">
        <f>VLOOKUP(BUDGET!K55,IE!$A$2:$C$132,3,FALSE)</f>
        <v>Grants, Subsidies, Contributions &amp; Donations</v>
      </c>
      <c r="K55" s="24">
        <v>181</v>
      </c>
      <c r="L55" s="1" t="s">
        <v>108</v>
      </c>
      <c r="M55" s="22">
        <v>-15000</v>
      </c>
      <c r="N55" s="22"/>
      <c r="O55" s="1" t="s">
        <v>429</v>
      </c>
    </row>
    <row r="56" spans="1:15">
      <c r="A56" s="6">
        <v>10</v>
      </c>
      <c r="B56" s="1" t="s">
        <v>105</v>
      </c>
      <c r="C56" s="6">
        <v>226</v>
      </c>
      <c r="D56" s="1" t="s">
        <v>360</v>
      </c>
      <c r="E56" s="12">
        <v>22630</v>
      </c>
      <c r="I56" s="6"/>
      <c r="J56" s="1" t="str">
        <f>VLOOKUP(BUDGET!K56,IE!$A$2:$C$132,3,FALSE)</f>
        <v>Materials &amp; Services</v>
      </c>
      <c r="K56" s="24">
        <v>353</v>
      </c>
      <c r="L56" s="1" t="s">
        <v>112</v>
      </c>
      <c r="M56" s="22">
        <v>15000</v>
      </c>
      <c r="N56" s="22"/>
    </row>
    <row r="57" spans="1:15">
      <c r="A57" s="6">
        <v>10</v>
      </c>
      <c r="B57" s="1" t="s">
        <v>105</v>
      </c>
      <c r="C57" s="6">
        <v>227</v>
      </c>
      <c r="D57" s="1" t="s">
        <v>171</v>
      </c>
      <c r="E57" s="12" t="s">
        <v>25</v>
      </c>
      <c r="F57" s="1" t="s">
        <v>172</v>
      </c>
      <c r="G57" s="1" t="s">
        <v>12</v>
      </c>
      <c r="I57" s="6">
        <v>124</v>
      </c>
      <c r="J57" s="1" t="str">
        <f>VLOOKUP(BUDGET!K57,IE!$A$2:$C$132,3,FALSE)</f>
        <v>Grants, Subsidies, Contributions &amp; Donations</v>
      </c>
      <c r="K57" s="24">
        <v>185</v>
      </c>
      <c r="L57" s="1" t="s">
        <v>173</v>
      </c>
      <c r="M57" s="20">
        <v>-15000</v>
      </c>
      <c r="N57" s="20"/>
      <c r="O57" s="1" t="s">
        <v>387</v>
      </c>
    </row>
    <row r="58" spans="1:15">
      <c r="A58" s="6">
        <v>10</v>
      </c>
      <c r="B58" s="1" t="s">
        <v>105</v>
      </c>
      <c r="C58" s="6">
        <v>227</v>
      </c>
      <c r="D58" s="1" t="s">
        <v>171</v>
      </c>
      <c r="E58" s="12" t="s">
        <v>26</v>
      </c>
      <c r="G58" s="6">
        <v>227</v>
      </c>
      <c r="H58" s="1" t="s">
        <v>171</v>
      </c>
      <c r="I58" s="6">
        <v>201</v>
      </c>
      <c r="J58" s="1" t="str">
        <f>VLOOKUP(BUDGET!K58,IE!$A$2:$C$132,3,FALSE)</f>
        <v>Salaries &amp; Wages</v>
      </c>
      <c r="K58" s="24">
        <v>210</v>
      </c>
      <c r="L58" s="1" t="s">
        <v>117</v>
      </c>
      <c r="M58" s="22">
        <v>6727</v>
      </c>
      <c r="N58" s="22"/>
      <c r="O58" s="1" t="s">
        <v>396</v>
      </c>
    </row>
    <row r="59" spans="1:15">
      <c r="A59" s="6">
        <v>10</v>
      </c>
      <c r="B59" s="1" t="s">
        <v>105</v>
      </c>
      <c r="C59" s="6">
        <v>227</v>
      </c>
      <c r="D59" s="1" t="s">
        <v>171</v>
      </c>
      <c r="E59" s="12" t="s">
        <v>26</v>
      </c>
      <c r="G59" s="6">
        <v>227</v>
      </c>
      <c r="H59" s="1" t="s">
        <v>171</v>
      </c>
      <c r="I59" s="6">
        <v>204</v>
      </c>
      <c r="J59" s="1" t="str">
        <f>VLOOKUP(BUDGET!K59,IE!$A$2:$C$132,3,FALSE)</f>
        <v>Salaries &amp; Wages</v>
      </c>
      <c r="K59" s="24">
        <v>240</v>
      </c>
      <c r="L59" s="1" t="s">
        <v>118</v>
      </c>
      <c r="M59" s="22">
        <f>M58*9.5%</f>
        <v>639.06500000000005</v>
      </c>
      <c r="N59" s="22"/>
    </row>
    <row r="60" spans="1:15">
      <c r="A60" s="6">
        <v>10</v>
      </c>
      <c r="B60" s="1" t="s">
        <v>105</v>
      </c>
      <c r="C60" s="6">
        <v>227</v>
      </c>
      <c r="D60" s="1" t="s">
        <v>171</v>
      </c>
      <c r="E60" s="12" t="s">
        <v>26</v>
      </c>
      <c r="G60" s="6">
        <v>227</v>
      </c>
      <c r="H60" s="1" t="s">
        <v>171</v>
      </c>
      <c r="I60" s="6">
        <v>205</v>
      </c>
      <c r="J60" s="1" t="str">
        <f>VLOOKUP(BUDGET!K60,IE!$A$2:$C$132,3,FALSE)</f>
        <v>Salaries &amp; Wages</v>
      </c>
      <c r="K60" s="24">
        <v>256</v>
      </c>
      <c r="L60" s="1" t="s">
        <v>119</v>
      </c>
      <c r="M60" s="22">
        <f>(M58+M59)*1.5%</f>
        <v>110.49097500000001</v>
      </c>
      <c r="N60" s="22"/>
    </row>
    <row r="61" spans="1:15">
      <c r="A61" s="6">
        <v>10</v>
      </c>
      <c r="B61" s="1" t="s">
        <v>105</v>
      </c>
      <c r="C61" s="6">
        <v>227</v>
      </c>
      <c r="D61" s="1" t="s">
        <v>171</v>
      </c>
      <c r="E61" s="12" t="s">
        <v>26</v>
      </c>
      <c r="G61" s="6">
        <v>227</v>
      </c>
      <c r="H61" s="1" t="s">
        <v>171</v>
      </c>
      <c r="I61" s="6">
        <v>250</v>
      </c>
      <c r="J61" s="1" t="str">
        <f>VLOOKUP(BUDGET!K61,IE!$A$2:$C$132,3,FALSE)</f>
        <v>Materials &amp; Services</v>
      </c>
      <c r="K61" s="24">
        <v>367</v>
      </c>
      <c r="L61" s="1" t="s">
        <v>174</v>
      </c>
      <c r="M61" s="22">
        <v>40</v>
      </c>
      <c r="N61" s="22"/>
    </row>
    <row r="62" spans="1:15">
      <c r="A62" s="6">
        <v>10</v>
      </c>
      <c r="B62" s="1" t="s">
        <v>105</v>
      </c>
      <c r="C62" s="6">
        <v>227</v>
      </c>
      <c r="D62" s="1" t="s">
        <v>171</v>
      </c>
      <c r="E62" s="12" t="s">
        <v>26</v>
      </c>
      <c r="G62" s="6">
        <v>227</v>
      </c>
      <c r="H62" s="1" t="s">
        <v>171</v>
      </c>
      <c r="I62" s="6">
        <v>250</v>
      </c>
      <c r="J62" s="1" t="str">
        <f>VLOOKUP(BUDGET!K62,IE!$A$2:$C$132,3,FALSE)</f>
        <v>Materials &amp; Services</v>
      </c>
      <c r="K62" s="24">
        <v>369</v>
      </c>
      <c r="L62" s="1" t="s">
        <v>123</v>
      </c>
      <c r="M62" s="22">
        <v>500</v>
      </c>
      <c r="N62" s="22"/>
    </row>
    <row r="63" spans="1:15" ht="12.75" customHeight="1">
      <c r="A63" s="6">
        <v>10</v>
      </c>
      <c r="B63" s="1" t="s">
        <v>105</v>
      </c>
      <c r="C63" s="6">
        <v>227</v>
      </c>
      <c r="D63" s="1" t="s">
        <v>171</v>
      </c>
      <c r="E63" s="12" t="s">
        <v>26</v>
      </c>
      <c r="G63" s="6">
        <v>227</v>
      </c>
      <c r="H63" s="1" t="s">
        <v>171</v>
      </c>
      <c r="I63" s="6">
        <v>270</v>
      </c>
      <c r="J63" s="1" t="str">
        <f>VLOOKUP(BUDGET!K63,IE!$A$2:$C$132,3,FALSE)</f>
        <v>Materials &amp; Services</v>
      </c>
      <c r="K63" s="24">
        <v>333</v>
      </c>
      <c r="L63" s="1" t="s">
        <v>169</v>
      </c>
      <c r="M63" s="22">
        <v>7000</v>
      </c>
      <c r="N63" s="22"/>
    </row>
    <row r="64" spans="1:15">
      <c r="A64" s="6">
        <v>10</v>
      </c>
      <c r="B64" s="1" t="s">
        <v>105</v>
      </c>
      <c r="C64" s="6">
        <v>228</v>
      </c>
      <c r="D64" s="1" t="s">
        <v>175</v>
      </c>
      <c r="E64" s="12" t="s">
        <v>27</v>
      </c>
      <c r="F64" s="1" t="s">
        <v>176</v>
      </c>
      <c r="G64" s="1" t="s">
        <v>12</v>
      </c>
      <c r="I64" s="6">
        <v>124</v>
      </c>
      <c r="J64" s="1" t="str">
        <f>VLOOKUP(BUDGET!K64,IE!$A$2:$C$132,3,FALSE)</f>
        <v>Grants, Subsidies, Contributions &amp; Donations</v>
      </c>
      <c r="K64" s="24">
        <v>181</v>
      </c>
      <c r="L64" s="1" t="s">
        <v>108</v>
      </c>
      <c r="M64" s="20">
        <v>-17000</v>
      </c>
      <c r="N64" s="20"/>
    </row>
    <row r="65" spans="1:15">
      <c r="A65" s="6">
        <v>10</v>
      </c>
      <c r="B65" s="1" t="s">
        <v>105</v>
      </c>
      <c r="C65" s="6">
        <v>228</v>
      </c>
      <c r="D65" s="1" t="s">
        <v>175</v>
      </c>
      <c r="E65" s="12" t="s">
        <v>28</v>
      </c>
      <c r="G65" s="6">
        <v>228</v>
      </c>
      <c r="H65" s="1" t="s">
        <v>175</v>
      </c>
      <c r="I65" s="6">
        <v>201</v>
      </c>
      <c r="J65" s="1" t="str">
        <f>VLOOKUP(BUDGET!K65,IE!$A$2:$C$132,3,FALSE)</f>
        <v>Salaries &amp; Wages</v>
      </c>
      <c r="K65" s="24">
        <v>210</v>
      </c>
      <c r="L65" s="1" t="s">
        <v>117</v>
      </c>
      <c r="M65" s="21">
        <v>45166</v>
      </c>
      <c r="N65" s="21"/>
      <c r="O65" s="1" t="s">
        <v>397</v>
      </c>
    </row>
    <row r="66" spans="1:15">
      <c r="A66" s="6">
        <v>10</v>
      </c>
      <c r="B66" s="1" t="s">
        <v>105</v>
      </c>
      <c r="C66" s="6">
        <v>228</v>
      </c>
      <c r="D66" s="1" t="s">
        <v>175</v>
      </c>
      <c r="E66" s="12" t="s">
        <v>28</v>
      </c>
      <c r="G66" s="6">
        <v>228</v>
      </c>
      <c r="H66" s="1" t="s">
        <v>175</v>
      </c>
      <c r="I66" s="6">
        <v>204</v>
      </c>
      <c r="J66" s="1" t="str">
        <f>VLOOKUP(BUDGET!K66,IE!$A$2:$C$132,3,FALSE)</f>
        <v>Salaries &amp; Wages</v>
      </c>
      <c r="K66" s="24">
        <v>240</v>
      </c>
      <c r="L66" s="1" t="s">
        <v>118</v>
      </c>
      <c r="M66" s="21">
        <f>M65*12%</f>
        <v>5419.92</v>
      </c>
      <c r="N66" s="21"/>
    </row>
    <row r="67" spans="1:15">
      <c r="A67" s="6">
        <v>10</v>
      </c>
      <c r="B67" s="1" t="s">
        <v>105</v>
      </c>
      <c r="C67" s="6">
        <v>228</v>
      </c>
      <c r="D67" s="1" t="s">
        <v>175</v>
      </c>
      <c r="E67" s="12" t="s">
        <v>28</v>
      </c>
      <c r="G67" s="6">
        <v>228</v>
      </c>
      <c r="H67" s="1" t="s">
        <v>175</v>
      </c>
      <c r="I67" s="6">
        <v>205</v>
      </c>
      <c r="J67" s="1" t="str">
        <f>VLOOKUP(BUDGET!K67,IE!$A$2:$C$132,3,FALSE)</f>
        <v>Salaries &amp; Wages</v>
      </c>
      <c r="K67" s="24">
        <v>256</v>
      </c>
      <c r="L67" s="1" t="s">
        <v>119</v>
      </c>
      <c r="M67" s="22">
        <f>(M65+M66)*1.5%</f>
        <v>758.78879999999992</v>
      </c>
      <c r="N67" s="22"/>
    </row>
    <row r="68" spans="1:15">
      <c r="A68" s="6">
        <v>10</v>
      </c>
      <c r="B68" s="1" t="s">
        <v>105</v>
      </c>
      <c r="C68" s="6">
        <v>228</v>
      </c>
      <c r="D68" s="1" t="s">
        <v>175</v>
      </c>
      <c r="E68" s="12" t="s">
        <v>28</v>
      </c>
      <c r="G68" s="6">
        <v>228</v>
      </c>
      <c r="H68" s="1" t="s">
        <v>175</v>
      </c>
      <c r="I68" s="6">
        <v>250</v>
      </c>
      <c r="J68" s="1" t="str">
        <f>VLOOKUP(BUDGET!K68,IE!$A$2:$C$132,3,FALSE)</f>
        <v>Materials &amp; Services</v>
      </c>
      <c r="K68" s="24">
        <v>350</v>
      </c>
      <c r="L68" s="1" t="s">
        <v>121</v>
      </c>
      <c r="M68" s="22">
        <v>1000</v>
      </c>
      <c r="N68" s="22"/>
    </row>
    <row r="69" spans="1:15">
      <c r="A69" s="6">
        <v>10</v>
      </c>
      <c r="B69" s="1" t="s">
        <v>105</v>
      </c>
      <c r="C69" s="6">
        <v>228</v>
      </c>
      <c r="D69" s="1" t="s">
        <v>175</v>
      </c>
      <c r="E69" s="12" t="s">
        <v>28</v>
      </c>
      <c r="G69" s="6">
        <v>228</v>
      </c>
      <c r="H69" s="1" t="s">
        <v>175</v>
      </c>
      <c r="I69" s="6">
        <v>278</v>
      </c>
      <c r="J69" s="1" t="str">
        <f>VLOOKUP(BUDGET!K69,IE!$A$2:$C$132,3,FALSE)</f>
        <v>Materials &amp; Services</v>
      </c>
      <c r="K69" s="24">
        <v>353</v>
      </c>
      <c r="L69" s="1" t="s">
        <v>112</v>
      </c>
      <c r="M69" s="22">
        <v>100</v>
      </c>
      <c r="N69" s="22"/>
    </row>
    <row r="70" spans="1:15">
      <c r="A70" s="6">
        <v>10</v>
      </c>
      <c r="B70" s="1" t="s">
        <v>105</v>
      </c>
      <c r="C70" s="6">
        <v>229</v>
      </c>
      <c r="D70" s="1" t="s">
        <v>177</v>
      </c>
      <c r="E70" s="12" t="s">
        <v>29</v>
      </c>
      <c r="F70" s="1" t="s">
        <v>178</v>
      </c>
      <c r="G70" s="1" t="s">
        <v>12</v>
      </c>
      <c r="I70" s="6">
        <v>124</v>
      </c>
      <c r="J70" s="1" t="str">
        <f>VLOOKUP(BUDGET!K70,IE!$A$2:$C$132,3,FALSE)</f>
        <v>Grants, Subsidies, Contributions &amp; Donations</v>
      </c>
      <c r="K70" s="24">
        <v>181</v>
      </c>
      <c r="L70" s="1" t="s">
        <v>108</v>
      </c>
      <c r="M70" s="20">
        <v>-14661</v>
      </c>
      <c r="N70" s="20"/>
    </row>
    <row r="71" spans="1:15">
      <c r="A71" s="6">
        <v>10</v>
      </c>
      <c r="B71" s="1" t="s">
        <v>105</v>
      </c>
      <c r="C71" s="6">
        <v>229</v>
      </c>
      <c r="D71" s="1" t="s">
        <v>177</v>
      </c>
      <c r="E71" s="12" t="s">
        <v>30</v>
      </c>
      <c r="G71" s="6">
        <v>229</v>
      </c>
      <c r="H71" s="1" t="s">
        <v>179</v>
      </c>
      <c r="I71" s="6">
        <v>201</v>
      </c>
      <c r="J71" s="1" t="str">
        <f>VLOOKUP(BUDGET!K71,IE!$A$2:$C$132,3,FALSE)</f>
        <v>Salaries &amp; Wages</v>
      </c>
      <c r="K71" s="24">
        <v>210</v>
      </c>
      <c r="L71" s="1" t="s">
        <v>117</v>
      </c>
      <c r="M71" s="22">
        <v>2000</v>
      </c>
      <c r="N71" s="22"/>
    </row>
    <row r="72" spans="1:15">
      <c r="A72" s="6">
        <v>10</v>
      </c>
      <c r="B72" s="1" t="s">
        <v>105</v>
      </c>
      <c r="C72" s="6">
        <v>229</v>
      </c>
      <c r="D72" s="1" t="s">
        <v>177</v>
      </c>
      <c r="E72" s="12" t="s">
        <v>30</v>
      </c>
      <c r="G72" s="6">
        <v>229</v>
      </c>
      <c r="H72" s="1" t="s">
        <v>179</v>
      </c>
      <c r="I72" s="6">
        <v>205</v>
      </c>
      <c r="J72" s="1" t="str">
        <f>VLOOKUP(BUDGET!K72,IE!$A$2:$C$132,3,FALSE)</f>
        <v>Salaries &amp; Wages</v>
      </c>
      <c r="K72" s="24">
        <v>252</v>
      </c>
      <c r="L72" s="1" t="s">
        <v>180</v>
      </c>
      <c r="M72" s="22">
        <v>1500</v>
      </c>
      <c r="N72" s="22"/>
    </row>
    <row r="73" spans="1:15">
      <c r="A73" s="6">
        <v>10</v>
      </c>
      <c r="B73" s="1" t="s">
        <v>105</v>
      </c>
      <c r="C73" s="6">
        <v>229</v>
      </c>
      <c r="D73" s="1" t="s">
        <v>177</v>
      </c>
      <c r="E73" s="12" t="s">
        <v>30</v>
      </c>
      <c r="G73" s="6">
        <v>229</v>
      </c>
      <c r="H73" s="1" t="s">
        <v>179</v>
      </c>
      <c r="I73" s="6">
        <v>250</v>
      </c>
      <c r="J73" s="1" t="str">
        <f>VLOOKUP(BUDGET!K73,IE!$A$2:$C$132,3,FALSE)</f>
        <v>Materials &amp; Services</v>
      </c>
      <c r="K73" s="24">
        <v>335</v>
      </c>
      <c r="L73" s="1" t="s">
        <v>110</v>
      </c>
      <c r="M73" s="22">
        <v>200</v>
      </c>
      <c r="N73" s="22"/>
    </row>
    <row r="74" spans="1:15">
      <c r="A74" s="6">
        <v>10</v>
      </c>
      <c r="B74" s="1" t="s">
        <v>105</v>
      </c>
      <c r="C74" s="6">
        <v>229</v>
      </c>
      <c r="D74" s="1" t="s">
        <v>177</v>
      </c>
      <c r="E74" s="12" t="s">
        <v>30</v>
      </c>
      <c r="G74" s="6">
        <v>229</v>
      </c>
      <c r="H74" s="1" t="s">
        <v>179</v>
      </c>
      <c r="I74" s="6">
        <v>250</v>
      </c>
      <c r="J74" s="1" t="str">
        <f>VLOOKUP(BUDGET!K74,IE!$A$2:$C$132,3,FALSE)</f>
        <v>Materials &amp; Services</v>
      </c>
      <c r="K74" s="24">
        <v>369</v>
      </c>
      <c r="L74" s="1" t="s">
        <v>123</v>
      </c>
      <c r="M74" s="22">
        <v>1500</v>
      </c>
      <c r="N74" s="22"/>
    </row>
    <row r="75" spans="1:15">
      <c r="A75" s="6">
        <v>10</v>
      </c>
      <c r="B75" s="1" t="s">
        <v>105</v>
      </c>
      <c r="C75" s="6">
        <v>229</v>
      </c>
      <c r="D75" s="1" t="s">
        <v>177</v>
      </c>
      <c r="E75" s="12" t="s">
        <v>30</v>
      </c>
      <c r="G75" s="6">
        <v>229</v>
      </c>
      <c r="H75" s="1" t="s">
        <v>179</v>
      </c>
      <c r="I75" s="6">
        <v>272</v>
      </c>
      <c r="J75" s="1" t="str">
        <f>VLOOKUP(BUDGET!K75,IE!$A$2:$C$132,3,FALSE)</f>
        <v>Property Expenses</v>
      </c>
      <c r="K75" s="24">
        <v>380</v>
      </c>
      <c r="L75" s="1" t="s">
        <v>127</v>
      </c>
      <c r="M75" s="22">
        <v>1500</v>
      </c>
      <c r="N75" s="22"/>
    </row>
    <row r="76" spans="1:15">
      <c r="A76" s="6">
        <v>10</v>
      </c>
      <c r="B76" s="1" t="s">
        <v>105</v>
      </c>
      <c r="C76" s="6">
        <v>229</v>
      </c>
      <c r="D76" s="1" t="s">
        <v>177</v>
      </c>
      <c r="E76" s="12" t="s">
        <v>30</v>
      </c>
      <c r="G76" s="6">
        <v>229</v>
      </c>
      <c r="H76" s="1" t="s">
        <v>179</v>
      </c>
      <c r="I76" s="6">
        <v>278</v>
      </c>
      <c r="J76" s="1" t="str">
        <f>VLOOKUP(BUDGET!K76,IE!$A$2:$C$132,3,FALSE)</f>
        <v>Materials &amp; Services</v>
      </c>
      <c r="K76" s="24">
        <v>353</v>
      </c>
      <c r="L76" s="1" t="s">
        <v>112</v>
      </c>
      <c r="M76" s="22">
        <v>4500</v>
      </c>
      <c r="N76" s="22"/>
    </row>
    <row r="77" spans="1:15">
      <c r="A77" s="6">
        <v>10</v>
      </c>
      <c r="B77" s="1" t="s">
        <v>105</v>
      </c>
      <c r="C77" s="6">
        <v>229</v>
      </c>
      <c r="D77" s="1" t="s">
        <v>177</v>
      </c>
      <c r="E77" s="12" t="s">
        <v>30</v>
      </c>
      <c r="G77" s="6">
        <v>229</v>
      </c>
      <c r="H77" s="1" t="s">
        <v>179</v>
      </c>
      <c r="I77" s="6">
        <v>278</v>
      </c>
      <c r="J77" s="1" t="str">
        <f>VLOOKUP(BUDGET!K77,IE!$A$2:$C$132,3,FALSE)</f>
        <v>Materials &amp; Services</v>
      </c>
      <c r="K77" s="24">
        <v>356</v>
      </c>
      <c r="L77" s="1" t="s">
        <v>160</v>
      </c>
      <c r="M77" s="22">
        <v>261</v>
      </c>
      <c r="N77" s="22"/>
    </row>
    <row r="78" spans="1:15">
      <c r="A78" s="6">
        <v>10</v>
      </c>
      <c r="B78" s="1" t="s">
        <v>105</v>
      </c>
      <c r="C78" s="6">
        <v>229</v>
      </c>
      <c r="D78" s="1" t="s">
        <v>177</v>
      </c>
      <c r="E78" s="12" t="s">
        <v>30</v>
      </c>
      <c r="G78" s="6">
        <v>229</v>
      </c>
      <c r="H78" s="1" t="s">
        <v>179</v>
      </c>
      <c r="I78" s="6">
        <v>900</v>
      </c>
      <c r="J78" s="1" t="str">
        <f>VLOOKUP(BUDGET!K78,IE!$A$2:$C$132,3,FALSE)</f>
        <v>Internal Transfer</v>
      </c>
      <c r="K78" s="24">
        <v>904</v>
      </c>
      <c r="L78" s="1" t="s">
        <v>161</v>
      </c>
      <c r="M78" s="22">
        <v>1000</v>
      </c>
      <c r="N78" s="22"/>
    </row>
    <row r="79" spans="1:15">
      <c r="A79" s="6">
        <v>10</v>
      </c>
      <c r="B79" s="1" t="s">
        <v>105</v>
      </c>
      <c r="C79" s="6">
        <v>229</v>
      </c>
      <c r="D79" s="1" t="s">
        <v>177</v>
      </c>
      <c r="E79" s="12" t="s">
        <v>30</v>
      </c>
      <c r="G79" s="6">
        <v>229</v>
      </c>
      <c r="H79" s="1" t="s">
        <v>179</v>
      </c>
      <c r="J79" s="1" t="str">
        <f>VLOOKUP(BUDGET!K79,IE!$A$2:$C$132,3,FALSE)</f>
        <v>Internal Transfer</v>
      </c>
      <c r="K79" s="23">
        <v>910</v>
      </c>
      <c r="L79" s="1" t="s">
        <v>125</v>
      </c>
      <c r="M79" s="22">
        <v>2200</v>
      </c>
      <c r="N79" s="22"/>
    </row>
    <row r="80" spans="1:15">
      <c r="A80" s="6">
        <v>10</v>
      </c>
      <c r="B80" s="1" t="s">
        <v>105</v>
      </c>
      <c r="C80" s="6">
        <v>270</v>
      </c>
      <c r="D80" s="1" t="s">
        <v>361</v>
      </c>
      <c r="E80" s="12" t="s">
        <v>31</v>
      </c>
      <c r="F80" s="1" t="s">
        <v>184</v>
      </c>
      <c r="G80" s="1" t="s">
        <v>12</v>
      </c>
      <c r="I80" s="6">
        <v>124</v>
      </c>
      <c r="J80" s="1" t="str">
        <f>VLOOKUP(BUDGET!K80,IE!$A$2:$C$132,3,FALSE)</f>
        <v>Grants, Subsidies, Contributions &amp; Donations</v>
      </c>
      <c r="K80" s="24">
        <v>182</v>
      </c>
      <c r="L80" s="1" t="s">
        <v>151</v>
      </c>
      <c r="M80" s="20">
        <v>-278645</v>
      </c>
      <c r="N80" s="20"/>
    </row>
    <row r="81" spans="1:15">
      <c r="A81" s="6">
        <v>10</v>
      </c>
      <c r="B81" s="1" t="s">
        <v>105</v>
      </c>
      <c r="C81" s="6">
        <v>270</v>
      </c>
      <c r="D81" s="1" t="s">
        <v>361</v>
      </c>
      <c r="E81" s="12" t="s">
        <v>32</v>
      </c>
      <c r="G81" s="6">
        <v>270</v>
      </c>
      <c r="H81" s="1" t="s">
        <v>185</v>
      </c>
      <c r="I81" s="6">
        <v>201</v>
      </c>
      <c r="J81" s="1" t="str">
        <f>VLOOKUP(BUDGET!K81,IE!$A$2:$C$132,3,FALSE)</f>
        <v>Salaries &amp; Wages</v>
      </c>
      <c r="K81" s="24">
        <v>210</v>
      </c>
      <c r="L81" s="1" t="s">
        <v>117</v>
      </c>
      <c r="M81" s="22">
        <v>117678</v>
      </c>
      <c r="N81" s="22"/>
      <c r="O81" s="1" t="s">
        <v>432</v>
      </c>
    </row>
    <row r="82" spans="1:15">
      <c r="A82" s="6">
        <v>10</v>
      </c>
      <c r="B82" s="1" t="s">
        <v>105</v>
      </c>
      <c r="C82" s="6">
        <v>270</v>
      </c>
      <c r="D82" s="1" t="s">
        <v>361</v>
      </c>
      <c r="E82" s="12" t="s">
        <v>32</v>
      </c>
      <c r="G82" s="6">
        <v>270</v>
      </c>
      <c r="H82" s="1" t="s">
        <v>185</v>
      </c>
      <c r="I82" s="6">
        <v>204</v>
      </c>
      <c r="J82" s="1" t="str">
        <f>VLOOKUP(BUDGET!K82,IE!$A$2:$C$132,3,FALSE)</f>
        <v>Salaries &amp; Wages</v>
      </c>
      <c r="K82" s="24">
        <v>240</v>
      </c>
      <c r="L82" s="1" t="s">
        <v>118</v>
      </c>
      <c r="M82" s="22">
        <f>M81*12%</f>
        <v>14121.359999999999</v>
      </c>
      <c r="N82" s="22"/>
    </row>
    <row r="83" spans="1:15">
      <c r="A83" s="6">
        <v>10</v>
      </c>
      <c r="B83" s="1" t="s">
        <v>105</v>
      </c>
      <c r="C83" s="6">
        <v>270</v>
      </c>
      <c r="D83" s="1" t="s">
        <v>361</v>
      </c>
      <c r="E83" s="12" t="s">
        <v>32</v>
      </c>
      <c r="G83" s="6">
        <v>270</v>
      </c>
      <c r="H83" s="1" t="s">
        <v>185</v>
      </c>
      <c r="I83" s="6">
        <v>205</v>
      </c>
      <c r="J83" s="1" t="str">
        <f>VLOOKUP(BUDGET!K83,IE!$A$2:$C$132,3,FALSE)</f>
        <v>Salaries &amp; Wages</v>
      </c>
      <c r="K83" s="24">
        <v>250</v>
      </c>
      <c r="L83" s="1" t="s">
        <v>186</v>
      </c>
      <c r="M83" s="22">
        <v>3000</v>
      </c>
      <c r="N83" s="22"/>
    </row>
    <row r="84" spans="1:15">
      <c r="A84" s="6">
        <v>10</v>
      </c>
      <c r="B84" s="1" t="s">
        <v>105</v>
      </c>
      <c r="C84" s="6">
        <v>270</v>
      </c>
      <c r="D84" s="1" t="s">
        <v>361</v>
      </c>
      <c r="E84" s="12" t="s">
        <v>32</v>
      </c>
      <c r="G84" s="6">
        <v>270</v>
      </c>
      <c r="H84" s="1" t="s">
        <v>185</v>
      </c>
      <c r="I84" s="6">
        <v>205</v>
      </c>
      <c r="J84" s="1" t="str">
        <f>VLOOKUP(BUDGET!K84,IE!$A$2:$C$132,3,FALSE)</f>
        <v>Salaries &amp; Wages</v>
      </c>
      <c r="K84" s="24">
        <v>255</v>
      </c>
      <c r="L84" s="1" t="s">
        <v>138</v>
      </c>
      <c r="M84" s="22">
        <v>400</v>
      </c>
      <c r="N84" s="22"/>
    </row>
    <row r="85" spans="1:15">
      <c r="A85" s="6">
        <v>10</v>
      </c>
      <c r="B85" s="1" t="s">
        <v>105</v>
      </c>
      <c r="C85" s="6">
        <v>270</v>
      </c>
      <c r="D85" s="1" t="s">
        <v>361</v>
      </c>
      <c r="E85" s="12" t="s">
        <v>32</v>
      </c>
      <c r="G85" s="6">
        <v>270</v>
      </c>
      <c r="H85" s="1" t="s">
        <v>185</v>
      </c>
      <c r="I85" s="6">
        <v>205</v>
      </c>
      <c r="J85" s="1" t="str">
        <f>VLOOKUP(BUDGET!K85,IE!$A$2:$C$132,3,FALSE)</f>
        <v>Salaries &amp; Wages</v>
      </c>
      <c r="K85" s="24">
        <v>256</v>
      </c>
      <c r="L85" s="1" t="s">
        <v>119</v>
      </c>
      <c r="M85" s="22">
        <f>(M81+M82)*1.5%</f>
        <v>1976.9903999999997</v>
      </c>
      <c r="N85" s="22"/>
    </row>
    <row r="86" spans="1:15">
      <c r="A86" s="6">
        <v>10</v>
      </c>
      <c r="B86" s="1" t="s">
        <v>105</v>
      </c>
      <c r="C86" s="6">
        <v>270</v>
      </c>
      <c r="D86" s="1" t="s">
        <v>361</v>
      </c>
      <c r="E86" s="12" t="s">
        <v>32</v>
      </c>
      <c r="G86" s="6">
        <v>270</v>
      </c>
      <c r="H86" s="1" t="s">
        <v>185</v>
      </c>
      <c r="I86" s="6">
        <v>250</v>
      </c>
      <c r="J86" s="1" t="str">
        <f>VLOOKUP(BUDGET!K86,IE!$A$2:$C$132,3,FALSE)</f>
        <v>Materials &amp; Services</v>
      </c>
      <c r="K86" s="24">
        <v>319</v>
      </c>
      <c r="L86" s="1" t="s">
        <v>167</v>
      </c>
      <c r="M86" s="22">
        <v>1000</v>
      </c>
      <c r="N86" s="22"/>
    </row>
    <row r="87" spans="1:15">
      <c r="A87" s="6">
        <v>10</v>
      </c>
      <c r="B87" s="1" t="s">
        <v>105</v>
      </c>
      <c r="C87" s="6">
        <v>270</v>
      </c>
      <c r="D87" s="1" t="s">
        <v>361</v>
      </c>
      <c r="E87" s="12" t="s">
        <v>32</v>
      </c>
      <c r="G87" s="6">
        <v>270</v>
      </c>
      <c r="H87" s="1" t="s">
        <v>185</v>
      </c>
      <c r="I87" s="6">
        <v>250</v>
      </c>
      <c r="J87" s="1" t="str">
        <f>VLOOKUP(BUDGET!K87,IE!$A$2:$C$132,3,FALSE)</f>
        <v>Materials &amp; Services</v>
      </c>
      <c r="K87" s="24">
        <v>335</v>
      </c>
      <c r="L87" s="1" t="s">
        <v>110</v>
      </c>
      <c r="M87" s="22">
        <v>4000</v>
      </c>
      <c r="N87" s="22"/>
    </row>
    <row r="88" spans="1:15">
      <c r="A88" s="6">
        <v>10</v>
      </c>
      <c r="B88" s="1" t="s">
        <v>105</v>
      </c>
      <c r="C88" s="6">
        <v>270</v>
      </c>
      <c r="D88" s="1" t="s">
        <v>361</v>
      </c>
      <c r="E88" s="12" t="s">
        <v>32</v>
      </c>
      <c r="G88" s="6">
        <v>270</v>
      </c>
      <c r="H88" s="1" t="s">
        <v>185</v>
      </c>
      <c r="I88" s="6">
        <v>250</v>
      </c>
      <c r="J88" s="1" t="str">
        <f>VLOOKUP(BUDGET!K88,IE!$A$2:$C$132,3,FALSE)</f>
        <v>Materials &amp; Services</v>
      </c>
      <c r="K88" s="24">
        <v>341</v>
      </c>
      <c r="L88" s="1" t="s">
        <v>187</v>
      </c>
      <c r="M88" s="22">
        <v>4739</v>
      </c>
      <c r="N88" s="22"/>
    </row>
    <row r="89" spans="1:15">
      <c r="A89" s="6">
        <v>10</v>
      </c>
      <c r="B89" s="1" t="s">
        <v>105</v>
      </c>
      <c r="C89" s="6">
        <v>270</v>
      </c>
      <c r="D89" s="1" t="s">
        <v>361</v>
      </c>
      <c r="E89" s="12" t="s">
        <v>32</v>
      </c>
      <c r="G89" s="6">
        <v>270</v>
      </c>
      <c r="H89" s="1" t="s">
        <v>185</v>
      </c>
      <c r="I89" s="6">
        <v>250</v>
      </c>
      <c r="J89" s="1" t="str">
        <f>VLOOKUP(BUDGET!K89,IE!$A$2:$C$132,3,FALSE)</f>
        <v>Materials &amp; Services</v>
      </c>
      <c r="K89" s="24">
        <v>350</v>
      </c>
      <c r="L89" s="1" t="s">
        <v>121</v>
      </c>
      <c r="M89" s="22">
        <v>6500</v>
      </c>
      <c r="N89" s="22"/>
    </row>
    <row r="90" spans="1:15">
      <c r="A90" s="6">
        <v>10</v>
      </c>
      <c r="B90" s="1" t="s">
        <v>105</v>
      </c>
      <c r="C90" s="6">
        <v>270</v>
      </c>
      <c r="D90" s="1" t="s">
        <v>361</v>
      </c>
      <c r="E90" s="12" t="s">
        <v>32</v>
      </c>
      <c r="G90" s="6">
        <v>270</v>
      </c>
      <c r="H90" s="1" t="s">
        <v>185</v>
      </c>
      <c r="I90" s="6">
        <v>250</v>
      </c>
      <c r="J90" s="1" t="str">
        <f>VLOOKUP(BUDGET!K90,IE!$A$2:$C$132,3,FALSE)</f>
        <v>Materials &amp; Services</v>
      </c>
      <c r="K90" s="24">
        <v>358</v>
      </c>
      <c r="L90" s="1" t="s">
        <v>111</v>
      </c>
      <c r="M90" s="22">
        <v>14000</v>
      </c>
      <c r="N90" s="22"/>
    </row>
    <row r="91" spans="1:15">
      <c r="A91" s="6">
        <v>10</v>
      </c>
      <c r="B91" s="1" t="s">
        <v>105</v>
      </c>
      <c r="C91" s="6">
        <v>270</v>
      </c>
      <c r="D91" s="1" t="s">
        <v>361</v>
      </c>
      <c r="E91" s="12" t="s">
        <v>32</v>
      </c>
      <c r="G91" s="6">
        <v>270</v>
      </c>
      <c r="H91" s="1" t="s">
        <v>185</v>
      </c>
      <c r="I91" s="6">
        <v>250</v>
      </c>
      <c r="J91" s="1" t="str">
        <f>VLOOKUP(BUDGET!K91,IE!$A$2:$C$132,3,FALSE)</f>
        <v>Materials &amp; Services</v>
      </c>
      <c r="K91" s="24">
        <v>367</v>
      </c>
      <c r="L91" s="1" t="s">
        <v>174</v>
      </c>
      <c r="M91" s="22">
        <v>800</v>
      </c>
      <c r="N91" s="22"/>
    </row>
    <row r="92" spans="1:15">
      <c r="A92" s="6">
        <v>10</v>
      </c>
      <c r="B92" s="1" t="s">
        <v>105</v>
      </c>
      <c r="C92" s="6">
        <v>270</v>
      </c>
      <c r="D92" s="1" t="s">
        <v>361</v>
      </c>
      <c r="E92" s="12" t="s">
        <v>32</v>
      </c>
      <c r="G92" s="6">
        <v>270</v>
      </c>
      <c r="H92" s="1" t="s">
        <v>185</v>
      </c>
      <c r="I92" s="6">
        <v>250</v>
      </c>
      <c r="J92" s="1" t="str">
        <f>VLOOKUP(BUDGET!K92,IE!$A$2:$C$132,3,FALSE)</f>
        <v>Materials &amp; Services</v>
      </c>
      <c r="K92" s="24">
        <v>369</v>
      </c>
      <c r="L92" s="1" t="s">
        <v>123</v>
      </c>
      <c r="M92" s="22">
        <v>3000</v>
      </c>
      <c r="N92" s="22"/>
    </row>
    <row r="93" spans="1:15">
      <c r="A93" s="6">
        <v>10</v>
      </c>
      <c r="B93" s="1" t="s">
        <v>105</v>
      </c>
      <c r="C93" s="6">
        <v>270</v>
      </c>
      <c r="D93" s="1" t="s">
        <v>361</v>
      </c>
      <c r="E93" s="12" t="s">
        <v>32</v>
      </c>
      <c r="G93" s="6">
        <v>270</v>
      </c>
      <c r="H93" s="1" t="s">
        <v>185</v>
      </c>
      <c r="I93" s="6">
        <v>250</v>
      </c>
      <c r="J93" s="1" t="str">
        <f>VLOOKUP(BUDGET!K93,IE!$A$2:$C$132,3,FALSE)</f>
        <v>Materials &amp; Services</v>
      </c>
      <c r="K93" s="24">
        <v>371</v>
      </c>
      <c r="L93" s="1" t="s">
        <v>156</v>
      </c>
      <c r="M93" s="22">
        <v>1500</v>
      </c>
      <c r="N93" s="22"/>
    </row>
    <row r="94" spans="1:15">
      <c r="A94" s="6">
        <v>10</v>
      </c>
      <c r="B94" s="1" t="s">
        <v>105</v>
      </c>
      <c r="C94" s="6">
        <v>270</v>
      </c>
      <c r="D94" s="1" t="s">
        <v>361</v>
      </c>
      <c r="E94" s="12" t="s">
        <v>32</v>
      </c>
      <c r="G94" s="6">
        <v>270</v>
      </c>
      <c r="H94" s="1" t="s">
        <v>185</v>
      </c>
      <c r="I94" s="6">
        <v>252</v>
      </c>
      <c r="J94" s="1" t="str">
        <f>VLOOKUP(BUDGET!K94,IE!$A$2:$C$132,3,FALSE)</f>
        <v>Materials &amp; Services</v>
      </c>
      <c r="K94" s="24">
        <v>324</v>
      </c>
      <c r="L94" s="1" t="s">
        <v>189</v>
      </c>
      <c r="M94" s="22">
        <v>4000</v>
      </c>
      <c r="N94" s="22"/>
    </row>
    <row r="95" spans="1:15">
      <c r="A95" s="6">
        <v>10</v>
      </c>
      <c r="B95" s="1" t="s">
        <v>105</v>
      </c>
      <c r="C95" s="6">
        <v>270</v>
      </c>
      <c r="D95" s="1" t="s">
        <v>361</v>
      </c>
      <c r="E95" s="12" t="s">
        <v>32</v>
      </c>
      <c r="G95" s="6">
        <v>270</v>
      </c>
      <c r="H95" s="1" t="s">
        <v>185</v>
      </c>
      <c r="I95" s="6">
        <v>254</v>
      </c>
      <c r="J95" s="1" t="str">
        <f>VLOOKUP(BUDGET!K95,IE!$A$2:$C$132,3,FALSE)</f>
        <v>Materials &amp; Services</v>
      </c>
      <c r="K95" s="24">
        <v>320</v>
      </c>
      <c r="L95" s="1" t="s">
        <v>190</v>
      </c>
      <c r="M95" s="22">
        <v>5000</v>
      </c>
      <c r="N95" s="22"/>
    </row>
    <row r="96" spans="1:15">
      <c r="A96" s="6">
        <v>10</v>
      </c>
      <c r="B96" s="1" t="s">
        <v>105</v>
      </c>
      <c r="C96" s="6">
        <v>270</v>
      </c>
      <c r="D96" s="1" t="s">
        <v>361</v>
      </c>
      <c r="E96" s="12" t="s">
        <v>32</v>
      </c>
      <c r="G96" s="6">
        <v>270</v>
      </c>
      <c r="H96" s="1" t="s">
        <v>185</v>
      </c>
      <c r="I96" s="6">
        <v>254</v>
      </c>
      <c r="J96" s="1" t="str">
        <f>VLOOKUP(BUDGET!K96,IE!$A$2:$C$132,3,FALSE)</f>
        <v>Materials &amp; Services</v>
      </c>
      <c r="K96" s="24">
        <v>323</v>
      </c>
      <c r="L96" s="1" t="s">
        <v>183</v>
      </c>
      <c r="M96" s="22">
        <v>3000</v>
      </c>
      <c r="N96" s="22"/>
    </row>
    <row r="97" spans="1:15">
      <c r="A97" s="6">
        <v>10</v>
      </c>
      <c r="B97" s="1" t="s">
        <v>105</v>
      </c>
      <c r="C97" s="6">
        <v>270</v>
      </c>
      <c r="D97" s="1" t="s">
        <v>361</v>
      </c>
      <c r="E97" s="12" t="s">
        <v>32</v>
      </c>
      <c r="G97" s="6">
        <v>270</v>
      </c>
      <c r="H97" s="1" t="s">
        <v>185</v>
      </c>
      <c r="I97" s="6">
        <v>272</v>
      </c>
      <c r="J97" s="1" t="str">
        <f>VLOOKUP(BUDGET!K97,IE!$A$2:$C$132,3,FALSE)</f>
        <v>Property Expenses</v>
      </c>
      <c r="K97" s="24">
        <v>382</v>
      </c>
      <c r="L97" s="1" t="s">
        <v>144</v>
      </c>
      <c r="M97" s="22">
        <v>2500</v>
      </c>
      <c r="N97" s="22"/>
    </row>
    <row r="98" spans="1:15">
      <c r="A98" s="6">
        <v>10</v>
      </c>
      <c r="B98" s="1" t="s">
        <v>105</v>
      </c>
      <c r="C98" s="6">
        <v>270</v>
      </c>
      <c r="D98" s="1" t="s">
        <v>361</v>
      </c>
      <c r="E98" s="12" t="s">
        <v>32</v>
      </c>
      <c r="G98" s="6">
        <v>270</v>
      </c>
      <c r="H98" s="1" t="s">
        <v>185</v>
      </c>
      <c r="I98" s="6">
        <v>275</v>
      </c>
      <c r="J98" s="1" t="str">
        <f>VLOOKUP(BUDGET!K98,IE!$A$2:$C$132,3,FALSE)</f>
        <v>Materials &amp; Services</v>
      </c>
      <c r="K98" s="24">
        <v>373</v>
      </c>
      <c r="L98" s="1" t="s">
        <v>124</v>
      </c>
      <c r="M98" s="22">
        <v>3000</v>
      </c>
      <c r="N98" s="22"/>
    </row>
    <row r="99" spans="1:15">
      <c r="A99" s="6">
        <v>10</v>
      </c>
      <c r="B99" s="1" t="s">
        <v>105</v>
      </c>
      <c r="C99" s="6">
        <v>270</v>
      </c>
      <c r="D99" s="1" t="s">
        <v>361</v>
      </c>
      <c r="E99" s="12" t="s">
        <v>32</v>
      </c>
      <c r="G99" s="6">
        <v>270</v>
      </c>
      <c r="H99" s="1" t="s">
        <v>185</v>
      </c>
      <c r="I99" s="6">
        <v>278</v>
      </c>
      <c r="J99" s="1" t="str">
        <f>VLOOKUP(BUDGET!K99,IE!$A$2:$C$132,3,FALSE)</f>
        <v>Materials &amp; Services</v>
      </c>
      <c r="K99" s="24">
        <v>353</v>
      </c>
      <c r="L99" s="1" t="s">
        <v>112</v>
      </c>
      <c r="M99" s="22">
        <v>10000</v>
      </c>
      <c r="N99" s="22"/>
    </row>
    <row r="100" spans="1:15">
      <c r="A100" s="6">
        <v>10</v>
      </c>
      <c r="B100" s="1" t="s">
        <v>105</v>
      </c>
      <c r="C100" s="6">
        <v>270</v>
      </c>
      <c r="D100" s="1" t="s">
        <v>361</v>
      </c>
      <c r="E100" s="12" t="s">
        <v>32</v>
      </c>
      <c r="G100" s="6">
        <v>270</v>
      </c>
      <c r="H100" s="1" t="s">
        <v>185</v>
      </c>
      <c r="I100" s="6">
        <v>278</v>
      </c>
      <c r="J100" s="1" t="str">
        <f>VLOOKUP(BUDGET!K100,IE!$A$2:$C$132,3,FALSE)</f>
        <v>Materials &amp; Services</v>
      </c>
      <c r="K100" s="24">
        <v>356</v>
      </c>
      <c r="L100" s="1" t="s">
        <v>160</v>
      </c>
      <c r="M100" s="22">
        <v>1633</v>
      </c>
      <c r="N100" s="22"/>
    </row>
    <row r="101" spans="1:15">
      <c r="A101" s="6">
        <v>10</v>
      </c>
      <c r="B101" s="1" t="s">
        <v>105</v>
      </c>
      <c r="C101" s="6">
        <v>270</v>
      </c>
      <c r="D101" s="1" t="s">
        <v>361</v>
      </c>
      <c r="E101" s="12">
        <v>27030</v>
      </c>
      <c r="G101" s="6"/>
      <c r="I101" s="6"/>
      <c r="J101" s="1" t="str">
        <f>VLOOKUP(BUDGET!K101,IE!$A$2:$C$132,3,FALSE)</f>
        <v>Internal Transfer</v>
      </c>
      <c r="K101" s="24">
        <v>904</v>
      </c>
      <c r="L101" s="1" t="s">
        <v>161</v>
      </c>
      <c r="M101" s="22">
        <v>10000</v>
      </c>
      <c r="N101" s="22"/>
    </row>
    <row r="102" spans="1:15">
      <c r="A102" s="6">
        <v>10</v>
      </c>
      <c r="B102" s="1" t="s">
        <v>105</v>
      </c>
      <c r="C102" s="6">
        <v>270</v>
      </c>
      <c r="D102" s="1" t="s">
        <v>361</v>
      </c>
      <c r="E102" s="12" t="s">
        <v>32</v>
      </c>
      <c r="G102" s="6">
        <v>270</v>
      </c>
      <c r="H102" s="1" t="s">
        <v>185</v>
      </c>
      <c r="I102" s="6">
        <v>900</v>
      </c>
      <c r="J102" s="1" t="str">
        <f>VLOOKUP(BUDGET!K102,IE!$A$2:$C$132,3,FALSE)</f>
        <v>Internal Transfer</v>
      </c>
      <c r="K102" s="24">
        <v>910</v>
      </c>
      <c r="L102" s="1" t="s">
        <v>125</v>
      </c>
      <c r="M102" s="22">
        <f>-M80*15%</f>
        <v>41796.75</v>
      </c>
      <c r="N102" s="22"/>
    </row>
    <row r="103" spans="1:15">
      <c r="A103" s="6">
        <v>10</v>
      </c>
      <c r="B103" s="1" t="s">
        <v>105</v>
      </c>
      <c r="C103" s="6">
        <v>270</v>
      </c>
      <c r="D103" s="1" t="s">
        <v>361</v>
      </c>
      <c r="E103" s="12" t="s">
        <v>32</v>
      </c>
      <c r="G103" s="6">
        <v>270</v>
      </c>
      <c r="H103" s="1" t="s">
        <v>185</v>
      </c>
      <c r="I103" s="6">
        <v>900</v>
      </c>
      <c r="J103" s="1" t="str">
        <f>VLOOKUP(BUDGET!K103,IE!$A$2:$C$132,3,FALSE)</f>
        <v>Internal Transfer</v>
      </c>
      <c r="K103" s="24">
        <v>914</v>
      </c>
      <c r="L103" s="1" t="s">
        <v>195</v>
      </c>
      <c r="M103" s="22">
        <v>25000</v>
      </c>
      <c r="N103" s="22"/>
    </row>
    <row r="104" spans="1:15">
      <c r="A104" s="6">
        <v>10</v>
      </c>
      <c r="B104" s="1" t="s">
        <v>105</v>
      </c>
      <c r="C104" s="6">
        <v>271</v>
      </c>
      <c r="D104" s="1" t="s">
        <v>196</v>
      </c>
      <c r="E104" s="12" t="s">
        <v>33</v>
      </c>
      <c r="F104" s="1" t="s">
        <v>197</v>
      </c>
      <c r="G104" s="1" t="s">
        <v>12</v>
      </c>
      <c r="I104" s="6">
        <v>124</v>
      </c>
      <c r="J104" s="1" t="str">
        <f>VLOOKUP(BUDGET!K104,IE!$A$2:$C$132,3,FALSE)</f>
        <v>Grants, Subsidies, Contributions &amp; Donations</v>
      </c>
      <c r="K104" s="24">
        <v>181</v>
      </c>
      <c r="L104" s="1" t="s">
        <v>108</v>
      </c>
      <c r="M104" s="20">
        <v>-50000</v>
      </c>
      <c r="N104" s="20"/>
    </row>
    <row r="105" spans="1:15">
      <c r="A105" s="6">
        <v>10</v>
      </c>
      <c r="B105" s="1" t="s">
        <v>105</v>
      </c>
      <c r="C105" s="6">
        <v>271</v>
      </c>
      <c r="D105" s="1" t="s">
        <v>196</v>
      </c>
      <c r="E105" s="12">
        <v>27130</v>
      </c>
      <c r="I105" s="6"/>
      <c r="J105" s="1" t="str">
        <f>VLOOKUP(BUDGET!K105,IE!$A$2:$C$132,3,FALSE)</f>
        <v>Salaries &amp; Wages</v>
      </c>
      <c r="K105" s="24">
        <v>210</v>
      </c>
      <c r="L105" s="1" t="s">
        <v>117</v>
      </c>
      <c r="M105" s="22">
        <v>37400</v>
      </c>
      <c r="N105" s="22"/>
      <c r="O105" s="1" t="s">
        <v>430</v>
      </c>
    </row>
    <row r="106" spans="1:15">
      <c r="A106" s="6">
        <v>10</v>
      </c>
      <c r="B106" s="1" t="s">
        <v>105</v>
      </c>
      <c r="C106" s="6">
        <v>271</v>
      </c>
      <c r="D106" s="1" t="s">
        <v>196</v>
      </c>
      <c r="E106" s="12">
        <v>27130</v>
      </c>
      <c r="I106" s="6"/>
      <c r="J106" s="1" t="str">
        <f>VLOOKUP(BUDGET!K106,IE!$A$2:$C$132,3,FALSE)</f>
        <v>Salaries &amp; Wages</v>
      </c>
      <c r="K106" s="24">
        <v>240</v>
      </c>
      <c r="L106" s="1" t="s">
        <v>118</v>
      </c>
      <c r="M106" s="22">
        <f>M105*12%-16</f>
        <v>4472</v>
      </c>
      <c r="N106" s="22"/>
    </row>
    <row r="107" spans="1:15">
      <c r="A107" s="6">
        <v>10</v>
      </c>
      <c r="B107" s="1" t="s">
        <v>105</v>
      </c>
      <c r="C107" s="6">
        <v>271</v>
      </c>
      <c r="D107" s="1" t="s">
        <v>196</v>
      </c>
      <c r="E107" s="12" t="s">
        <v>34</v>
      </c>
      <c r="G107" s="6">
        <v>271</v>
      </c>
      <c r="H107" s="1" t="s">
        <v>198</v>
      </c>
      <c r="I107" s="6">
        <v>205</v>
      </c>
      <c r="J107" s="1" t="str">
        <f>VLOOKUP(BUDGET!K107,IE!$A$2:$C$132,3,FALSE)</f>
        <v>Salaries &amp; Wages</v>
      </c>
      <c r="K107" s="24">
        <v>256</v>
      </c>
      <c r="L107" s="1" t="s">
        <v>119</v>
      </c>
      <c r="M107" s="22">
        <f>(M105+M106)*1.5%</f>
        <v>628.07999999999993</v>
      </c>
      <c r="N107" s="22"/>
    </row>
    <row r="108" spans="1:15">
      <c r="A108" s="6">
        <v>10</v>
      </c>
      <c r="B108" s="1" t="s">
        <v>105</v>
      </c>
      <c r="C108" s="6">
        <v>271</v>
      </c>
      <c r="D108" s="1" t="s">
        <v>196</v>
      </c>
      <c r="E108" s="12" t="s">
        <v>34</v>
      </c>
      <c r="G108" s="6">
        <v>271</v>
      </c>
      <c r="H108" s="1" t="s">
        <v>198</v>
      </c>
      <c r="I108" s="6">
        <v>900</v>
      </c>
      <c r="J108" s="1" t="str">
        <f>VLOOKUP(BUDGET!K108,IE!$A$2:$C$132,3,FALSE)</f>
        <v>Internal Transfer</v>
      </c>
      <c r="K108" s="24">
        <v>910</v>
      </c>
      <c r="L108" s="1" t="s">
        <v>125</v>
      </c>
      <c r="M108" s="22">
        <f>-M104*15%</f>
        <v>7500</v>
      </c>
      <c r="N108" s="22"/>
    </row>
    <row r="109" spans="1:15">
      <c r="A109" s="6">
        <v>10</v>
      </c>
      <c r="B109" s="1" t="s">
        <v>105</v>
      </c>
      <c r="C109" s="6">
        <v>272</v>
      </c>
      <c r="D109" s="1" t="s">
        <v>201</v>
      </c>
      <c r="E109" s="12" t="s">
        <v>35</v>
      </c>
      <c r="F109" s="1" t="s">
        <v>202</v>
      </c>
      <c r="G109" s="1" t="s">
        <v>12</v>
      </c>
      <c r="I109" s="6">
        <v>124</v>
      </c>
      <c r="J109" s="1" t="str">
        <f>VLOOKUP(BUDGET!K109,IE!$A$2:$C$132,3,FALSE)</f>
        <v>Grants, Subsidies, Contributions &amp; Donations</v>
      </c>
      <c r="K109" s="24">
        <v>182</v>
      </c>
      <c r="L109" s="1" t="s">
        <v>151</v>
      </c>
      <c r="M109" s="20">
        <v>-245000</v>
      </c>
      <c r="N109" s="20"/>
      <c r="O109" s="1" t="s">
        <v>399</v>
      </c>
    </row>
    <row r="110" spans="1:15">
      <c r="A110" s="6">
        <v>10</v>
      </c>
      <c r="B110" s="1" t="s">
        <v>105</v>
      </c>
      <c r="C110" s="6">
        <v>272</v>
      </c>
      <c r="D110" s="1" t="s">
        <v>201</v>
      </c>
      <c r="E110" s="12" t="s">
        <v>36</v>
      </c>
      <c r="G110" s="6">
        <v>272</v>
      </c>
      <c r="H110" s="1" t="s">
        <v>203</v>
      </c>
      <c r="I110" s="6">
        <v>201</v>
      </c>
      <c r="J110" s="1" t="str">
        <f>VLOOKUP(BUDGET!K110,IE!$A$2:$C$132,3,FALSE)</f>
        <v>Salaries &amp; Wages</v>
      </c>
      <c r="K110" s="24">
        <v>210</v>
      </c>
      <c r="L110" s="1" t="s">
        <v>117</v>
      </c>
      <c r="M110" s="21">
        <v>100325</v>
      </c>
      <c r="N110" s="21"/>
      <c r="O110" s="1" t="s">
        <v>431</v>
      </c>
    </row>
    <row r="111" spans="1:15">
      <c r="A111" s="6">
        <v>10</v>
      </c>
      <c r="B111" s="1" t="s">
        <v>105</v>
      </c>
      <c r="C111" s="6">
        <v>272</v>
      </c>
      <c r="D111" s="1" t="s">
        <v>201</v>
      </c>
      <c r="E111" s="12" t="s">
        <v>36</v>
      </c>
      <c r="G111" s="6">
        <v>272</v>
      </c>
      <c r="H111" s="1" t="s">
        <v>203</v>
      </c>
      <c r="I111" s="6">
        <v>204</v>
      </c>
      <c r="J111" s="1" t="str">
        <f>VLOOKUP(BUDGET!K111,IE!$A$2:$C$132,3,FALSE)</f>
        <v>Salaries &amp; Wages</v>
      </c>
      <c r="K111" s="24">
        <v>240</v>
      </c>
      <c r="L111" s="1" t="s">
        <v>118</v>
      </c>
      <c r="M111" s="21">
        <f>M110*12%</f>
        <v>12039</v>
      </c>
      <c r="N111" s="21"/>
    </row>
    <row r="112" spans="1:15">
      <c r="A112" s="6">
        <v>10</v>
      </c>
      <c r="B112" s="1" t="s">
        <v>105</v>
      </c>
      <c r="C112" s="6">
        <v>272</v>
      </c>
      <c r="D112" s="1" t="s">
        <v>201</v>
      </c>
      <c r="E112" s="12" t="s">
        <v>36</v>
      </c>
      <c r="G112" s="6">
        <v>272</v>
      </c>
      <c r="H112" s="1" t="s">
        <v>203</v>
      </c>
      <c r="I112" s="6">
        <v>205</v>
      </c>
      <c r="J112" s="1" t="str">
        <f>VLOOKUP(BUDGET!K112,IE!$A$2:$C$132,3,FALSE)</f>
        <v>Salaries &amp; Wages</v>
      </c>
      <c r="K112" s="24">
        <v>250</v>
      </c>
      <c r="L112" s="1" t="s">
        <v>186</v>
      </c>
      <c r="M112" s="22">
        <v>2000</v>
      </c>
      <c r="N112" s="22"/>
    </row>
    <row r="113" spans="1:15">
      <c r="A113" s="6">
        <v>10</v>
      </c>
      <c r="B113" s="1" t="s">
        <v>105</v>
      </c>
      <c r="C113" s="6">
        <v>272</v>
      </c>
      <c r="D113" s="1" t="s">
        <v>201</v>
      </c>
      <c r="E113" s="12" t="s">
        <v>36</v>
      </c>
      <c r="G113" s="6">
        <v>272</v>
      </c>
      <c r="H113" s="1" t="s">
        <v>203</v>
      </c>
      <c r="I113" s="6">
        <v>205</v>
      </c>
      <c r="J113" s="1" t="str">
        <f>VLOOKUP(BUDGET!K113,IE!$A$2:$C$132,3,FALSE)</f>
        <v>Salaries &amp; Wages</v>
      </c>
      <c r="K113" s="24">
        <v>251</v>
      </c>
      <c r="L113" s="1" t="s">
        <v>204</v>
      </c>
      <c r="M113" s="22">
        <v>1500</v>
      </c>
      <c r="N113" s="22"/>
    </row>
    <row r="114" spans="1:15">
      <c r="A114" s="6">
        <v>10</v>
      </c>
      <c r="B114" s="1" t="s">
        <v>105</v>
      </c>
      <c r="C114" s="6">
        <v>272</v>
      </c>
      <c r="D114" s="1" t="s">
        <v>201</v>
      </c>
      <c r="E114" s="12" t="s">
        <v>36</v>
      </c>
      <c r="G114" s="6">
        <v>272</v>
      </c>
      <c r="H114" s="1" t="s">
        <v>203</v>
      </c>
      <c r="I114" s="6">
        <v>205</v>
      </c>
      <c r="J114" s="1" t="str">
        <f>VLOOKUP(BUDGET!K114,IE!$A$2:$C$132,3,FALSE)</f>
        <v>Salaries &amp; Wages</v>
      </c>
      <c r="K114" s="24">
        <v>253</v>
      </c>
      <c r="L114" s="1" t="s">
        <v>136</v>
      </c>
      <c r="M114" s="22">
        <v>3000</v>
      </c>
      <c r="N114" s="22"/>
    </row>
    <row r="115" spans="1:15">
      <c r="A115" s="6">
        <v>10</v>
      </c>
      <c r="B115" s="1" t="s">
        <v>105</v>
      </c>
      <c r="C115" s="6">
        <v>272</v>
      </c>
      <c r="D115" s="1" t="s">
        <v>201</v>
      </c>
      <c r="E115" s="12" t="s">
        <v>36</v>
      </c>
      <c r="G115" s="6">
        <v>272</v>
      </c>
      <c r="H115" s="1" t="s">
        <v>203</v>
      </c>
      <c r="I115" s="6">
        <v>205</v>
      </c>
      <c r="J115" s="1" t="str">
        <f>VLOOKUP(BUDGET!K115,IE!$A$2:$C$132,3,FALSE)</f>
        <v>Salaries &amp; Wages</v>
      </c>
      <c r="K115" s="24">
        <v>255</v>
      </c>
      <c r="L115" s="1" t="s">
        <v>138</v>
      </c>
      <c r="M115" s="22">
        <v>400</v>
      </c>
      <c r="N115" s="22"/>
    </row>
    <row r="116" spans="1:15">
      <c r="A116" s="6">
        <v>10</v>
      </c>
      <c r="B116" s="1" t="s">
        <v>105</v>
      </c>
      <c r="C116" s="6">
        <v>272</v>
      </c>
      <c r="D116" s="1" t="s">
        <v>201</v>
      </c>
      <c r="E116" s="12" t="s">
        <v>36</v>
      </c>
      <c r="G116" s="6">
        <v>272</v>
      </c>
      <c r="H116" s="1" t="s">
        <v>203</v>
      </c>
      <c r="I116" s="6">
        <v>205</v>
      </c>
      <c r="J116" s="1" t="str">
        <f>VLOOKUP(BUDGET!K116,IE!$A$2:$C$132,3,FALSE)</f>
        <v>Salaries &amp; Wages</v>
      </c>
      <c r="K116" s="24">
        <v>256</v>
      </c>
      <c r="L116" s="1" t="s">
        <v>119</v>
      </c>
      <c r="M116" s="22">
        <f>(M110+M111)*1.5%</f>
        <v>1685.46</v>
      </c>
      <c r="N116" s="22"/>
    </row>
    <row r="117" spans="1:15">
      <c r="A117" s="6">
        <v>10</v>
      </c>
      <c r="B117" s="1" t="s">
        <v>105</v>
      </c>
      <c r="C117" s="6">
        <v>272</v>
      </c>
      <c r="D117" s="1" t="s">
        <v>201</v>
      </c>
      <c r="E117" s="12" t="s">
        <v>36</v>
      </c>
      <c r="G117" s="6">
        <v>272</v>
      </c>
      <c r="H117" s="1" t="s">
        <v>203</v>
      </c>
      <c r="I117" s="6">
        <v>250</v>
      </c>
      <c r="J117" s="1" t="str">
        <f>VLOOKUP(BUDGET!K117,IE!$A$2:$C$132,3,FALSE)</f>
        <v>Materials &amp; Services</v>
      </c>
      <c r="K117" s="24">
        <v>319</v>
      </c>
      <c r="L117" s="1" t="s">
        <v>167</v>
      </c>
      <c r="M117" s="22">
        <v>2500</v>
      </c>
      <c r="N117" s="22"/>
    </row>
    <row r="118" spans="1:15">
      <c r="A118" s="6">
        <v>10</v>
      </c>
      <c r="B118" s="1" t="s">
        <v>105</v>
      </c>
      <c r="C118" s="6">
        <v>272</v>
      </c>
      <c r="D118" s="1" t="s">
        <v>201</v>
      </c>
      <c r="E118" s="12" t="s">
        <v>36</v>
      </c>
      <c r="G118" s="6">
        <v>272</v>
      </c>
      <c r="H118" s="1" t="s">
        <v>203</v>
      </c>
      <c r="I118" s="6">
        <v>250</v>
      </c>
      <c r="J118" s="1" t="str">
        <f>VLOOKUP(BUDGET!K118,IE!$A$2:$C$132,3,FALSE)</f>
        <v>Materials &amp; Services</v>
      </c>
      <c r="K118" s="24">
        <v>335</v>
      </c>
      <c r="L118" s="1" t="s">
        <v>110</v>
      </c>
      <c r="M118" s="22">
        <v>3500</v>
      </c>
      <c r="N118" s="22"/>
    </row>
    <row r="119" spans="1:15">
      <c r="A119" s="6">
        <v>10</v>
      </c>
      <c r="B119" s="1" t="s">
        <v>105</v>
      </c>
      <c r="C119" s="6">
        <v>272</v>
      </c>
      <c r="D119" s="1" t="s">
        <v>201</v>
      </c>
      <c r="E119" s="12" t="s">
        <v>36</v>
      </c>
      <c r="G119" s="6">
        <v>272</v>
      </c>
      <c r="H119" s="1" t="s">
        <v>203</v>
      </c>
      <c r="I119" s="6">
        <v>250</v>
      </c>
      <c r="J119" s="1" t="str">
        <f>VLOOKUP(BUDGET!K119,IE!$A$2:$C$132,3,FALSE)</f>
        <v>Materials &amp; Services</v>
      </c>
      <c r="K119" s="24">
        <v>341</v>
      </c>
      <c r="L119" s="1" t="s">
        <v>187</v>
      </c>
      <c r="M119" s="22">
        <v>7500</v>
      </c>
      <c r="N119" s="22"/>
    </row>
    <row r="120" spans="1:15">
      <c r="A120" s="6">
        <v>10</v>
      </c>
      <c r="B120" s="1" t="s">
        <v>105</v>
      </c>
      <c r="C120" s="6">
        <v>272</v>
      </c>
      <c r="D120" s="1" t="s">
        <v>201</v>
      </c>
      <c r="E120" s="12" t="s">
        <v>36</v>
      </c>
      <c r="G120" s="6">
        <v>272</v>
      </c>
      <c r="H120" s="1" t="s">
        <v>203</v>
      </c>
      <c r="I120" s="6">
        <v>250</v>
      </c>
      <c r="J120" s="1" t="str">
        <f>VLOOKUP(BUDGET!K120,IE!$A$2:$C$132,3,FALSE)</f>
        <v>Materials &amp; Services</v>
      </c>
      <c r="K120" s="24">
        <v>358</v>
      </c>
      <c r="L120" s="1" t="s">
        <v>111</v>
      </c>
      <c r="M120" s="22">
        <v>5000</v>
      </c>
      <c r="N120" s="22"/>
    </row>
    <row r="121" spans="1:15">
      <c r="A121" s="6">
        <v>10</v>
      </c>
      <c r="B121" s="1" t="s">
        <v>105</v>
      </c>
      <c r="C121" s="6">
        <v>272</v>
      </c>
      <c r="D121" s="1" t="s">
        <v>201</v>
      </c>
      <c r="E121" s="12" t="s">
        <v>36</v>
      </c>
      <c r="G121" s="6">
        <v>272</v>
      </c>
      <c r="H121" s="1" t="s">
        <v>203</v>
      </c>
      <c r="I121" s="6">
        <v>250</v>
      </c>
      <c r="J121" s="1" t="str">
        <f>VLOOKUP(BUDGET!K121,IE!$A$2:$C$132,3,FALSE)</f>
        <v>Materials &amp; Services</v>
      </c>
      <c r="K121" s="24">
        <v>366</v>
      </c>
      <c r="L121" s="1" t="s">
        <v>142</v>
      </c>
      <c r="M121" s="22">
        <v>1000</v>
      </c>
      <c r="N121" s="22"/>
    </row>
    <row r="122" spans="1:15">
      <c r="A122" s="6">
        <v>10</v>
      </c>
      <c r="B122" s="1" t="s">
        <v>105</v>
      </c>
      <c r="C122" s="6">
        <v>272</v>
      </c>
      <c r="D122" s="1" t="s">
        <v>201</v>
      </c>
      <c r="E122" s="12" t="s">
        <v>36</v>
      </c>
      <c r="G122" s="6">
        <v>272</v>
      </c>
      <c r="H122" s="1" t="s">
        <v>203</v>
      </c>
      <c r="I122" s="6">
        <v>250</v>
      </c>
      <c r="J122" s="1" t="str">
        <f>VLOOKUP(BUDGET!K122,IE!$A$2:$C$132,3,FALSE)</f>
        <v>Materials &amp; Services</v>
      </c>
      <c r="K122" s="24">
        <v>371</v>
      </c>
      <c r="L122" s="1" t="s">
        <v>156</v>
      </c>
      <c r="M122" s="22">
        <v>1500</v>
      </c>
      <c r="N122" s="22"/>
    </row>
    <row r="123" spans="1:15">
      <c r="A123" s="6">
        <v>10</v>
      </c>
      <c r="B123" s="1" t="s">
        <v>105</v>
      </c>
      <c r="C123" s="6">
        <v>272</v>
      </c>
      <c r="D123" s="1" t="s">
        <v>201</v>
      </c>
      <c r="E123" s="12" t="s">
        <v>36</v>
      </c>
      <c r="G123" s="6">
        <v>272</v>
      </c>
      <c r="H123" s="1" t="s">
        <v>203</v>
      </c>
      <c r="I123" s="6">
        <v>254</v>
      </c>
      <c r="J123" s="1" t="str">
        <f>VLOOKUP(BUDGET!K123,IE!$A$2:$C$132,3,FALSE)</f>
        <v>Materials &amp; Services</v>
      </c>
      <c r="K123" s="24">
        <v>323</v>
      </c>
      <c r="L123" s="1" t="s">
        <v>183</v>
      </c>
      <c r="M123" s="22">
        <v>3000</v>
      </c>
      <c r="N123" s="22"/>
    </row>
    <row r="124" spans="1:15">
      <c r="A124" s="6">
        <v>10</v>
      </c>
      <c r="B124" s="1" t="s">
        <v>105</v>
      </c>
      <c r="C124" s="6">
        <v>272</v>
      </c>
      <c r="D124" s="1" t="s">
        <v>201</v>
      </c>
      <c r="E124" s="12" t="s">
        <v>36</v>
      </c>
      <c r="G124" s="6">
        <v>272</v>
      </c>
      <c r="H124" s="1" t="s">
        <v>203</v>
      </c>
      <c r="I124" s="6">
        <v>270</v>
      </c>
      <c r="J124" s="1" t="str">
        <f>VLOOKUP(BUDGET!K124,IE!$A$2:$C$132,3,FALSE)</f>
        <v>Materials &amp; Services</v>
      </c>
      <c r="K124" s="24">
        <v>333</v>
      </c>
      <c r="L124" s="1" t="s">
        <v>169</v>
      </c>
      <c r="M124" s="22">
        <v>16000</v>
      </c>
      <c r="N124" s="22"/>
    </row>
    <row r="125" spans="1:15">
      <c r="A125" s="6">
        <v>10</v>
      </c>
      <c r="B125" s="1" t="s">
        <v>105</v>
      </c>
      <c r="C125" s="6">
        <v>272</v>
      </c>
      <c r="D125" s="1" t="s">
        <v>201</v>
      </c>
      <c r="E125" s="12" t="s">
        <v>36</v>
      </c>
      <c r="G125" s="6">
        <v>272</v>
      </c>
      <c r="H125" s="1" t="s">
        <v>203</v>
      </c>
      <c r="I125" s="6">
        <v>272</v>
      </c>
      <c r="J125" s="1" t="str">
        <f>VLOOKUP(BUDGET!K125,IE!$A$2:$C$132,3,FALSE)</f>
        <v>Property Expenses</v>
      </c>
      <c r="K125" s="24">
        <v>382</v>
      </c>
      <c r="L125" s="1" t="s">
        <v>144</v>
      </c>
      <c r="M125" s="22">
        <v>2500</v>
      </c>
      <c r="N125" s="22"/>
    </row>
    <row r="126" spans="1:15">
      <c r="A126" s="6">
        <v>10</v>
      </c>
      <c r="B126" s="1" t="s">
        <v>105</v>
      </c>
      <c r="C126" s="6">
        <v>272</v>
      </c>
      <c r="D126" s="1" t="s">
        <v>201</v>
      </c>
      <c r="E126" s="12" t="s">
        <v>36</v>
      </c>
      <c r="G126" s="6">
        <v>272</v>
      </c>
      <c r="H126" s="1" t="s">
        <v>203</v>
      </c>
      <c r="I126" s="6">
        <v>275</v>
      </c>
      <c r="J126" s="1" t="str">
        <f>VLOOKUP(BUDGET!K126,IE!$A$2:$C$132,3,FALSE)</f>
        <v>Materials &amp; Services</v>
      </c>
      <c r="K126" s="24">
        <v>373</v>
      </c>
      <c r="L126" s="1" t="s">
        <v>124</v>
      </c>
      <c r="M126" s="22">
        <v>1000</v>
      </c>
      <c r="N126" s="22"/>
      <c r="O126" s="1" t="s">
        <v>398</v>
      </c>
    </row>
    <row r="127" spans="1:15">
      <c r="A127" s="6">
        <v>10</v>
      </c>
      <c r="B127" s="1" t="s">
        <v>105</v>
      </c>
      <c r="C127" s="6">
        <v>272</v>
      </c>
      <c r="D127" s="1" t="s">
        <v>201</v>
      </c>
      <c r="E127" s="12" t="s">
        <v>36</v>
      </c>
      <c r="G127" s="6">
        <v>272</v>
      </c>
      <c r="H127" s="1" t="s">
        <v>203</v>
      </c>
      <c r="I127" s="6">
        <v>278</v>
      </c>
      <c r="J127" s="1" t="str">
        <f>VLOOKUP(BUDGET!K127,IE!$A$2:$C$132,3,FALSE)</f>
        <v>Materials &amp; Services</v>
      </c>
      <c r="K127" s="24">
        <v>353</v>
      </c>
      <c r="L127" s="1" t="s">
        <v>112</v>
      </c>
      <c r="M127" s="22">
        <v>3500</v>
      </c>
      <c r="N127" s="22"/>
    </row>
    <row r="128" spans="1:15">
      <c r="A128" s="6">
        <v>10</v>
      </c>
      <c r="B128" s="1" t="s">
        <v>105</v>
      </c>
      <c r="C128" s="6">
        <v>272</v>
      </c>
      <c r="D128" s="1" t="s">
        <v>201</v>
      </c>
      <c r="E128" s="12" t="s">
        <v>36</v>
      </c>
      <c r="G128" s="6">
        <v>272</v>
      </c>
      <c r="H128" s="1" t="s">
        <v>203</v>
      </c>
      <c r="I128" s="6">
        <v>278</v>
      </c>
      <c r="J128" s="1" t="str">
        <f>VLOOKUP(BUDGET!K128,IE!$A$2:$C$132,3,FALSE)</f>
        <v>Materials &amp; Services</v>
      </c>
      <c r="K128" s="24">
        <v>356</v>
      </c>
      <c r="L128" s="1" t="s">
        <v>160</v>
      </c>
      <c r="M128" s="22">
        <v>301</v>
      </c>
      <c r="N128" s="22"/>
    </row>
    <row r="129" spans="1:15">
      <c r="A129" s="6">
        <v>10</v>
      </c>
      <c r="B129" s="1" t="s">
        <v>105</v>
      </c>
      <c r="C129" s="6">
        <v>272</v>
      </c>
      <c r="D129" s="1" t="s">
        <v>201</v>
      </c>
      <c r="E129" s="12" t="s">
        <v>36</v>
      </c>
      <c r="G129" s="6">
        <v>272</v>
      </c>
      <c r="H129" s="1" t="s">
        <v>203</v>
      </c>
      <c r="I129" s="6">
        <v>900</v>
      </c>
      <c r="J129" s="1" t="str">
        <f>VLOOKUP(BUDGET!K129,IE!$A$2:$C$132,3,FALSE)</f>
        <v>Internal Transfer</v>
      </c>
      <c r="K129" s="24">
        <v>904</v>
      </c>
      <c r="L129" s="1" t="s">
        <v>161</v>
      </c>
      <c r="M129" s="22">
        <v>5000</v>
      </c>
      <c r="N129" s="22"/>
    </row>
    <row r="130" spans="1:15">
      <c r="A130" s="6">
        <v>10</v>
      </c>
      <c r="B130" s="1" t="s">
        <v>105</v>
      </c>
      <c r="C130" s="6">
        <v>272</v>
      </c>
      <c r="D130" s="1" t="s">
        <v>201</v>
      </c>
      <c r="E130" s="12">
        <v>27230</v>
      </c>
      <c r="G130" s="6">
        <v>272</v>
      </c>
      <c r="H130" s="1" t="s">
        <v>203</v>
      </c>
      <c r="I130" s="6"/>
      <c r="J130" s="1" t="str">
        <f>VLOOKUP(BUDGET!K130,IE!$A$2:$C$132,3,FALSE)</f>
        <v>Internal Transfer</v>
      </c>
      <c r="K130" s="24">
        <v>908</v>
      </c>
      <c r="L130" s="1" t="s">
        <v>279</v>
      </c>
      <c r="M130" s="22">
        <v>10000</v>
      </c>
      <c r="N130" s="22"/>
    </row>
    <row r="131" spans="1:15">
      <c r="A131" s="6">
        <v>10</v>
      </c>
      <c r="B131" s="1" t="s">
        <v>105</v>
      </c>
      <c r="C131" s="6">
        <v>272</v>
      </c>
      <c r="D131" s="1" t="s">
        <v>201</v>
      </c>
      <c r="E131" s="12" t="s">
        <v>36</v>
      </c>
      <c r="G131" s="6">
        <v>272</v>
      </c>
      <c r="H131" s="1" t="s">
        <v>203</v>
      </c>
      <c r="I131" s="6">
        <v>900</v>
      </c>
      <c r="J131" s="1" t="str">
        <f>VLOOKUP(BUDGET!K131,IE!$A$2:$C$132,3,FALSE)</f>
        <v>Internal Transfer</v>
      </c>
      <c r="K131" s="24">
        <v>910</v>
      </c>
      <c r="L131" s="1" t="s">
        <v>125</v>
      </c>
      <c r="M131" s="22">
        <f>M109*-0.15</f>
        <v>36750</v>
      </c>
      <c r="N131" s="22"/>
    </row>
    <row r="132" spans="1:15">
      <c r="A132" s="6">
        <v>10</v>
      </c>
      <c r="B132" s="1" t="s">
        <v>105</v>
      </c>
      <c r="C132" s="6">
        <v>272</v>
      </c>
      <c r="D132" s="1" t="s">
        <v>201</v>
      </c>
      <c r="E132" s="12">
        <v>27230</v>
      </c>
      <c r="F132" s="1" t="s">
        <v>205</v>
      </c>
      <c r="G132" s="1">
        <v>272</v>
      </c>
      <c r="H132" s="1" t="s">
        <v>203</v>
      </c>
      <c r="I132" s="6">
        <v>278</v>
      </c>
      <c r="J132" s="1" t="str">
        <f>VLOOKUP(BUDGET!K132,IE!$A$2:$C$132,3,FALSE)</f>
        <v>Internal Transfer</v>
      </c>
      <c r="K132" s="24">
        <v>914</v>
      </c>
      <c r="L132" s="1" t="s">
        <v>195</v>
      </c>
      <c r="M132" s="22">
        <v>25000</v>
      </c>
      <c r="N132" s="22"/>
    </row>
    <row r="133" spans="1:15">
      <c r="A133" s="6">
        <v>10</v>
      </c>
      <c r="B133" s="1" t="s">
        <v>105</v>
      </c>
      <c r="C133" s="6">
        <v>274</v>
      </c>
      <c r="D133" s="1" t="s">
        <v>206</v>
      </c>
      <c r="E133" s="12" t="s">
        <v>37</v>
      </c>
      <c r="F133" s="1" t="s">
        <v>207</v>
      </c>
      <c r="G133" s="1" t="s">
        <v>12</v>
      </c>
      <c r="I133" s="6">
        <v>119</v>
      </c>
      <c r="J133" s="1" t="str">
        <f>VLOOKUP(BUDGET!K133,IE!$A$2:$C$132,3,FALSE)</f>
        <v>Sales Revenue</v>
      </c>
      <c r="K133" s="24">
        <v>159</v>
      </c>
      <c r="L133" s="1" t="s">
        <v>208</v>
      </c>
      <c r="M133" s="20">
        <v>-120000</v>
      </c>
      <c r="N133" s="20"/>
    </row>
    <row r="134" spans="1:15">
      <c r="A134" s="6">
        <v>10</v>
      </c>
      <c r="B134" s="1" t="s">
        <v>105</v>
      </c>
      <c r="C134" s="6">
        <v>274</v>
      </c>
      <c r="D134" s="1" t="s">
        <v>206</v>
      </c>
      <c r="E134" s="12" t="s">
        <v>37</v>
      </c>
      <c r="F134" s="1" t="s">
        <v>207</v>
      </c>
      <c r="G134" s="1" t="s">
        <v>12</v>
      </c>
      <c r="I134" s="6">
        <v>119</v>
      </c>
      <c r="J134" s="1" t="str">
        <f>VLOOKUP(BUDGET!K134,IE!$A$2:$C$132,3,FALSE)</f>
        <v>Sales Revenue</v>
      </c>
      <c r="K134" s="24">
        <v>174</v>
      </c>
      <c r="L134" s="1" t="s">
        <v>400</v>
      </c>
      <c r="M134" s="20">
        <v>-8000</v>
      </c>
      <c r="N134" s="20"/>
    </row>
    <row r="135" spans="1:15">
      <c r="A135" s="6">
        <v>10</v>
      </c>
      <c r="B135" s="1" t="s">
        <v>105</v>
      </c>
      <c r="C135" s="6">
        <v>274</v>
      </c>
      <c r="D135" s="1" t="s">
        <v>206</v>
      </c>
      <c r="E135" s="12" t="s">
        <v>38</v>
      </c>
      <c r="G135" s="6">
        <v>274</v>
      </c>
      <c r="H135" s="1" t="s">
        <v>210</v>
      </c>
      <c r="I135" s="6">
        <v>250</v>
      </c>
      <c r="J135" s="1" t="str">
        <f>VLOOKUP(BUDGET!K135,IE!$A$2:$C$132,3,FALSE)</f>
        <v>Materials &amp; Services</v>
      </c>
      <c r="K135" s="24">
        <v>317</v>
      </c>
      <c r="L135" s="1" t="s">
        <v>120</v>
      </c>
      <c r="M135" s="22">
        <v>500</v>
      </c>
      <c r="N135" s="22"/>
    </row>
    <row r="136" spans="1:15">
      <c r="A136" s="6">
        <v>10</v>
      </c>
      <c r="B136" s="1" t="s">
        <v>105</v>
      </c>
      <c r="C136" s="6">
        <v>274</v>
      </c>
      <c r="D136" s="1" t="s">
        <v>206</v>
      </c>
      <c r="E136" s="12" t="s">
        <v>38</v>
      </c>
      <c r="G136" s="6">
        <v>274</v>
      </c>
      <c r="H136" s="1" t="s">
        <v>210</v>
      </c>
      <c r="I136" s="6">
        <v>250</v>
      </c>
      <c r="J136" s="1" t="str">
        <f>VLOOKUP(BUDGET!K136,IE!$A$2:$C$132,3,FALSE)</f>
        <v>Materials &amp; Services</v>
      </c>
      <c r="K136" s="24">
        <v>335</v>
      </c>
      <c r="L136" s="1" t="s">
        <v>110</v>
      </c>
      <c r="M136" s="22">
        <v>7000</v>
      </c>
      <c r="N136" s="22"/>
    </row>
    <row r="137" spans="1:15">
      <c r="A137" s="6">
        <v>10</v>
      </c>
      <c r="B137" s="1" t="s">
        <v>105</v>
      </c>
      <c r="C137" s="6">
        <v>274</v>
      </c>
      <c r="D137" s="1" t="s">
        <v>206</v>
      </c>
      <c r="E137" s="12" t="s">
        <v>38</v>
      </c>
      <c r="G137" s="6">
        <v>274</v>
      </c>
      <c r="H137" s="1" t="s">
        <v>210</v>
      </c>
      <c r="I137" s="6">
        <v>250</v>
      </c>
      <c r="J137" s="1" t="str">
        <f>VLOOKUP(BUDGET!K137,IE!$A$2:$C$132,3,FALSE)</f>
        <v>Materials &amp; Services</v>
      </c>
      <c r="K137" s="24">
        <v>341</v>
      </c>
      <c r="L137" s="1" t="s">
        <v>187</v>
      </c>
      <c r="M137" s="22">
        <v>40000</v>
      </c>
      <c r="N137" s="22"/>
    </row>
    <row r="138" spans="1:15">
      <c r="A138" s="6">
        <v>10</v>
      </c>
      <c r="B138" s="1" t="s">
        <v>105</v>
      </c>
      <c r="C138" s="6">
        <v>275</v>
      </c>
      <c r="D138" s="1" t="s">
        <v>211</v>
      </c>
      <c r="E138" s="12" t="s">
        <v>39</v>
      </c>
      <c r="F138" s="1" t="s">
        <v>212</v>
      </c>
      <c r="G138" s="1" t="s">
        <v>12</v>
      </c>
      <c r="I138" s="6">
        <v>124</v>
      </c>
      <c r="J138" s="1" t="str">
        <f>VLOOKUP(BUDGET!K138,IE!$A$2:$C$132,3,FALSE)</f>
        <v>Grants, Subsidies, Contributions &amp; Donations</v>
      </c>
      <c r="K138" s="24">
        <v>180</v>
      </c>
      <c r="L138" s="1" t="s">
        <v>116</v>
      </c>
      <c r="M138" s="20">
        <v>-125607</v>
      </c>
      <c r="N138" s="20"/>
      <c r="O138" s="7" t="s">
        <v>401</v>
      </c>
    </row>
    <row r="139" spans="1:15">
      <c r="A139" s="6">
        <v>10</v>
      </c>
      <c r="B139" s="1" t="s">
        <v>105</v>
      </c>
      <c r="C139" s="6">
        <v>275</v>
      </c>
      <c r="D139" s="1" t="s">
        <v>211</v>
      </c>
      <c r="E139" s="12" t="s">
        <v>39</v>
      </c>
      <c r="F139" s="1" t="s">
        <v>212</v>
      </c>
      <c r="G139" s="1" t="s">
        <v>12</v>
      </c>
      <c r="I139" s="6">
        <v>124</v>
      </c>
      <c r="J139" s="1" t="str">
        <f>VLOOKUP(BUDGET!K139,IE!$A$2:$C$132,3,FALSE)</f>
        <v>Grants, Subsidies, Contributions &amp; Donations</v>
      </c>
      <c r="K139" s="24">
        <v>182</v>
      </c>
      <c r="L139" s="1" t="s">
        <v>151</v>
      </c>
      <c r="M139" s="20">
        <v>-490076</v>
      </c>
      <c r="N139" s="20"/>
    </row>
    <row r="140" spans="1:15">
      <c r="A140" s="6">
        <v>10</v>
      </c>
      <c r="B140" s="1" t="s">
        <v>105</v>
      </c>
      <c r="C140" s="6">
        <v>275</v>
      </c>
      <c r="D140" s="1" t="s">
        <v>211</v>
      </c>
      <c r="E140" s="12" t="s">
        <v>40</v>
      </c>
      <c r="G140" s="6">
        <v>275</v>
      </c>
      <c r="H140" s="1" t="s">
        <v>213</v>
      </c>
      <c r="I140" s="6">
        <v>201</v>
      </c>
      <c r="J140" s="1" t="str">
        <f>VLOOKUP(BUDGET!K140,IE!$A$2:$C$132,3,FALSE)</f>
        <v>Salaries &amp; Wages</v>
      </c>
      <c r="K140" s="24">
        <v>210</v>
      </c>
      <c r="L140" s="1" t="s">
        <v>117</v>
      </c>
      <c r="M140" s="22">
        <v>517879</v>
      </c>
      <c r="N140" s="22"/>
    </row>
    <row r="141" spans="1:15">
      <c r="A141" s="6">
        <v>10</v>
      </c>
      <c r="B141" s="1" t="s">
        <v>105</v>
      </c>
      <c r="C141" s="6">
        <v>275</v>
      </c>
      <c r="D141" s="1" t="s">
        <v>211</v>
      </c>
      <c r="E141" s="12" t="s">
        <v>40</v>
      </c>
      <c r="G141" s="6">
        <v>275</v>
      </c>
      <c r="H141" s="1" t="s">
        <v>213</v>
      </c>
      <c r="I141" s="6">
        <v>204</v>
      </c>
      <c r="J141" s="1" t="str">
        <f>VLOOKUP(BUDGET!K141,IE!$A$2:$C$132,3,FALSE)</f>
        <v>Salaries &amp; Wages</v>
      </c>
      <c r="K141" s="24">
        <v>240</v>
      </c>
      <c r="L141" s="1" t="s">
        <v>118</v>
      </c>
      <c r="M141" s="22">
        <f>M140*0.12</f>
        <v>62145.479999999996</v>
      </c>
      <c r="N141" s="22"/>
    </row>
    <row r="142" spans="1:15">
      <c r="A142" s="6">
        <v>10</v>
      </c>
      <c r="B142" s="1" t="s">
        <v>105</v>
      </c>
      <c r="C142" s="6">
        <v>275</v>
      </c>
      <c r="D142" s="1" t="s">
        <v>211</v>
      </c>
      <c r="E142" s="12" t="s">
        <v>40</v>
      </c>
      <c r="G142" s="6">
        <v>275</v>
      </c>
      <c r="H142" s="1" t="s">
        <v>213</v>
      </c>
      <c r="I142" s="6">
        <v>205</v>
      </c>
      <c r="J142" s="1" t="str">
        <f>VLOOKUP(BUDGET!K142,IE!$A$2:$C$132,3,FALSE)</f>
        <v>Salaries &amp; Wages</v>
      </c>
      <c r="K142" s="24">
        <v>256</v>
      </c>
      <c r="L142" s="1" t="s">
        <v>119</v>
      </c>
      <c r="M142" s="22">
        <f>(M140+M141)*1.5%</f>
        <v>8700.3671999999988</v>
      </c>
      <c r="N142" s="22"/>
    </row>
    <row r="143" spans="1:15">
      <c r="A143" s="6">
        <v>10</v>
      </c>
      <c r="B143" s="1" t="s">
        <v>105</v>
      </c>
      <c r="C143" s="6">
        <v>275</v>
      </c>
      <c r="D143" s="1" t="s">
        <v>211</v>
      </c>
      <c r="E143" s="12">
        <v>27530</v>
      </c>
      <c r="G143" s="6">
        <v>275</v>
      </c>
      <c r="H143" s="1" t="s">
        <v>213</v>
      </c>
      <c r="I143" s="6"/>
      <c r="J143" s="1" t="s">
        <v>117</v>
      </c>
      <c r="K143" s="24">
        <v>252</v>
      </c>
      <c r="L143" s="1" t="s">
        <v>180</v>
      </c>
      <c r="M143" s="22">
        <v>26958</v>
      </c>
      <c r="N143" s="22"/>
    </row>
    <row r="144" spans="1:15">
      <c r="A144" s="6">
        <v>30</v>
      </c>
      <c r="B144" s="1" t="s">
        <v>286</v>
      </c>
      <c r="C144" s="6">
        <v>278</v>
      </c>
      <c r="D144" s="1" t="s">
        <v>214</v>
      </c>
      <c r="E144" s="12" t="s">
        <v>41</v>
      </c>
      <c r="F144" s="1" t="s">
        <v>215</v>
      </c>
      <c r="G144" s="1" t="s">
        <v>12</v>
      </c>
      <c r="I144" s="6">
        <v>124</v>
      </c>
      <c r="J144" s="1" t="str">
        <f>VLOOKUP(BUDGET!K144,IE!$A$2:$C$132,3,FALSE)</f>
        <v>Grants, Subsidies, Contributions &amp; Donations</v>
      </c>
      <c r="K144" s="24">
        <v>181</v>
      </c>
      <c r="L144" s="1" t="s">
        <v>108</v>
      </c>
      <c r="M144" s="20">
        <v>-155000</v>
      </c>
      <c r="N144" s="20"/>
    </row>
    <row r="145" spans="1:15">
      <c r="A145" s="6">
        <v>30</v>
      </c>
      <c r="B145" s="1" t="s">
        <v>286</v>
      </c>
      <c r="C145" s="6">
        <v>278</v>
      </c>
      <c r="D145" s="1" t="s">
        <v>214</v>
      </c>
      <c r="E145" s="12" t="s">
        <v>42</v>
      </c>
      <c r="G145" s="6">
        <v>278</v>
      </c>
      <c r="H145" s="1" t="s">
        <v>216</v>
      </c>
      <c r="I145" s="6">
        <v>201</v>
      </c>
      <c r="J145" s="1" t="str">
        <f>VLOOKUP(BUDGET!K145,IE!$A$2:$C$132,3,FALSE)</f>
        <v>Salaries &amp; Wages</v>
      </c>
      <c r="K145" s="24">
        <v>210</v>
      </c>
      <c r="L145" s="1" t="s">
        <v>117</v>
      </c>
      <c r="M145" s="21">
        <v>106904</v>
      </c>
      <c r="N145" s="21"/>
      <c r="O145" s="1" t="s">
        <v>427</v>
      </c>
    </row>
    <row r="146" spans="1:15">
      <c r="A146" s="6">
        <v>30</v>
      </c>
      <c r="B146" s="1" t="s">
        <v>286</v>
      </c>
      <c r="C146" s="6">
        <v>278</v>
      </c>
      <c r="D146" s="1" t="s">
        <v>214</v>
      </c>
      <c r="E146" s="12" t="s">
        <v>42</v>
      </c>
      <c r="G146" s="6">
        <v>278</v>
      </c>
      <c r="H146" s="1" t="s">
        <v>216</v>
      </c>
      <c r="I146" s="6">
        <v>204</v>
      </c>
      <c r="J146" s="1" t="str">
        <f>VLOOKUP(BUDGET!K146,IE!$A$2:$C$132,3,FALSE)</f>
        <v>Salaries &amp; Wages</v>
      </c>
      <c r="K146" s="24">
        <v>240</v>
      </c>
      <c r="L146" s="1" t="s">
        <v>118</v>
      </c>
      <c r="M146" s="21">
        <f>M145*0.12</f>
        <v>12828.48</v>
      </c>
      <c r="N146" s="21"/>
    </row>
    <row r="147" spans="1:15">
      <c r="A147" s="6">
        <v>30</v>
      </c>
      <c r="B147" s="1" t="s">
        <v>286</v>
      </c>
      <c r="C147" s="6">
        <v>278</v>
      </c>
      <c r="D147" s="1" t="s">
        <v>214</v>
      </c>
      <c r="E147" s="12" t="s">
        <v>42</v>
      </c>
      <c r="G147" s="6">
        <v>278</v>
      </c>
      <c r="H147" s="1" t="s">
        <v>216</v>
      </c>
      <c r="I147" s="6">
        <v>205</v>
      </c>
      <c r="J147" s="1" t="str">
        <f>VLOOKUP(BUDGET!K147,IE!$A$2:$C$132,3,FALSE)</f>
        <v>Salaries &amp; Wages</v>
      </c>
      <c r="K147" s="24">
        <v>252</v>
      </c>
      <c r="L147" s="1" t="s">
        <v>180</v>
      </c>
      <c r="M147" s="22">
        <v>3500</v>
      </c>
      <c r="N147" s="22"/>
    </row>
    <row r="148" spans="1:15">
      <c r="A148" s="6">
        <v>30</v>
      </c>
      <c r="B148" s="1" t="s">
        <v>286</v>
      </c>
      <c r="C148" s="6">
        <v>278</v>
      </c>
      <c r="D148" s="1" t="s">
        <v>214</v>
      </c>
      <c r="E148" s="12" t="s">
        <v>42</v>
      </c>
      <c r="G148" s="6">
        <v>278</v>
      </c>
      <c r="H148" s="1" t="s">
        <v>216</v>
      </c>
      <c r="I148" s="6">
        <v>205</v>
      </c>
      <c r="J148" s="1" t="str">
        <f>VLOOKUP(BUDGET!K148,IE!$A$2:$C$132,3,FALSE)</f>
        <v>Salaries &amp; Wages</v>
      </c>
      <c r="K148" s="24">
        <v>253</v>
      </c>
      <c r="L148" s="1" t="s">
        <v>136</v>
      </c>
      <c r="M148" s="22">
        <v>5500</v>
      </c>
      <c r="N148" s="22"/>
    </row>
    <row r="149" spans="1:15">
      <c r="A149" s="6">
        <v>30</v>
      </c>
      <c r="B149" s="1" t="s">
        <v>286</v>
      </c>
      <c r="C149" s="6">
        <v>278</v>
      </c>
      <c r="D149" s="1" t="s">
        <v>214</v>
      </c>
      <c r="E149" s="12" t="s">
        <v>42</v>
      </c>
      <c r="G149" s="6">
        <v>278</v>
      </c>
      <c r="H149" s="1" t="s">
        <v>216</v>
      </c>
      <c r="I149" s="6">
        <v>205</v>
      </c>
      <c r="J149" s="1" t="str">
        <f>VLOOKUP(BUDGET!K149,IE!$A$2:$C$132,3,FALSE)</f>
        <v>Salaries &amp; Wages</v>
      </c>
      <c r="K149" s="24">
        <v>255</v>
      </c>
      <c r="L149" s="1" t="s">
        <v>138</v>
      </c>
      <c r="M149" s="22">
        <v>1000</v>
      </c>
      <c r="N149" s="22"/>
    </row>
    <row r="150" spans="1:15">
      <c r="A150" s="6">
        <v>30</v>
      </c>
      <c r="B150" s="1" t="s">
        <v>286</v>
      </c>
      <c r="C150" s="6">
        <v>278</v>
      </c>
      <c r="D150" s="1" t="s">
        <v>214</v>
      </c>
      <c r="E150" s="12" t="s">
        <v>42</v>
      </c>
      <c r="G150" s="6">
        <v>278</v>
      </c>
      <c r="H150" s="1" t="s">
        <v>216</v>
      </c>
      <c r="I150" s="6">
        <v>205</v>
      </c>
      <c r="J150" s="1" t="str">
        <f>VLOOKUP(BUDGET!K150,IE!$A$2:$C$132,3,FALSE)</f>
        <v>Salaries &amp; Wages</v>
      </c>
      <c r="K150" s="24">
        <v>256</v>
      </c>
      <c r="L150" s="1" t="s">
        <v>119</v>
      </c>
      <c r="M150" s="22">
        <f>(M145+M146)*1.5%</f>
        <v>1795.9871999999998</v>
      </c>
      <c r="N150" s="22"/>
    </row>
    <row r="151" spans="1:15">
      <c r="A151" s="6">
        <v>30</v>
      </c>
      <c r="B151" s="1" t="s">
        <v>286</v>
      </c>
      <c r="C151" s="6">
        <v>278</v>
      </c>
      <c r="D151" s="1" t="s">
        <v>214</v>
      </c>
      <c r="E151" s="12" t="s">
        <v>42</v>
      </c>
      <c r="G151" s="6">
        <v>278</v>
      </c>
      <c r="H151" s="1" t="s">
        <v>216</v>
      </c>
      <c r="I151" s="6">
        <v>250</v>
      </c>
      <c r="J151" s="1" t="str">
        <f>VLOOKUP(BUDGET!K151,IE!$A$2:$C$132,3,FALSE)</f>
        <v>Materials &amp; Services</v>
      </c>
      <c r="K151" s="24">
        <v>331</v>
      </c>
      <c r="L151" s="1" t="s">
        <v>217</v>
      </c>
      <c r="M151" s="22">
        <v>14222</v>
      </c>
      <c r="N151" s="22"/>
    </row>
    <row r="152" spans="1:15">
      <c r="A152" s="6">
        <v>30</v>
      </c>
      <c r="B152" s="1" t="s">
        <v>286</v>
      </c>
      <c r="C152" s="6">
        <v>278</v>
      </c>
      <c r="D152" s="1" t="s">
        <v>214</v>
      </c>
      <c r="E152" s="12" t="s">
        <v>42</v>
      </c>
      <c r="G152" s="6">
        <v>278</v>
      </c>
      <c r="H152" s="1" t="s">
        <v>216</v>
      </c>
      <c r="I152" s="6">
        <v>250</v>
      </c>
      <c r="J152" s="1" t="str">
        <f>VLOOKUP(BUDGET!K152,IE!$A$2:$C$132,3,FALSE)</f>
        <v>Materials &amp; Services</v>
      </c>
      <c r="K152" s="24">
        <v>335</v>
      </c>
      <c r="L152" s="1" t="s">
        <v>110</v>
      </c>
      <c r="M152" s="22">
        <v>700</v>
      </c>
      <c r="N152" s="22"/>
    </row>
    <row r="153" spans="1:15">
      <c r="A153" s="6">
        <v>30</v>
      </c>
      <c r="B153" s="1" t="s">
        <v>286</v>
      </c>
      <c r="C153" s="6">
        <v>278</v>
      </c>
      <c r="D153" s="1" t="s">
        <v>214</v>
      </c>
      <c r="E153" s="12" t="s">
        <v>42</v>
      </c>
      <c r="G153" s="6">
        <v>278</v>
      </c>
      <c r="H153" s="1" t="s">
        <v>216</v>
      </c>
      <c r="I153" s="6">
        <v>264</v>
      </c>
      <c r="J153" s="1" t="str">
        <f>VLOOKUP(BUDGET!K153,IE!$A$2:$C$132,3,FALSE)</f>
        <v>Motor Vehicle Expenses</v>
      </c>
      <c r="K153" s="24">
        <v>393</v>
      </c>
      <c r="L153" s="1" t="s">
        <v>199</v>
      </c>
      <c r="M153" s="22">
        <v>450</v>
      </c>
      <c r="N153" s="22"/>
    </row>
    <row r="154" spans="1:15">
      <c r="A154" s="6">
        <v>30</v>
      </c>
      <c r="B154" s="1" t="s">
        <v>286</v>
      </c>
      <c r="C154" s="6">
        <v>278</v>
      </c>
      <c r="D154" s="1" t="s">
        <v>214</v>
      </c>
      <c r="E154" s="12" t="s">
        <v>42</v>
      </c>
      <c r="G154" s="6">
        <v>278</v>
      </c>
      <c r="H154" s="1" t="s">
        <v>216</v>
      </c>
      <c r="I154" s="6">
        <v>268</v>
      </c>
      <c r="J154" s="1" t="str">
        <f>VLOOKUP(BUDGET!K154,IE!$A$2:$C$132,3,FALSE)</f>
        <v>Motor Vehicle Expenses</v>
      </c>
      <c r="K154" s="24">
        <v>392</v>
      </c>
      <c r="L154" s="1" t="s">
        <v>181</v>
      </c>
      <c r="M154" s="22">
        <v>400</v>
      </c>
      <c r="N154" s="22"/>
    </row>
    <row r="155" spans="1:15">
      <c r="A155" s="6">
        <v>30</v>
      </c>
      <c r="B155" s="1" t="s">
        <v>286</v>
      </c>
      <c r="C155" s="6">
        <v>278</v>
      </c>
      <c r="D155" s="1" t="s">
        <v>214</v>
      </c>
      <c r="E155" s="12" t="s">
        <v>42</v>
      </c>
      <c r="G155" s="6">
        <v>278</v>
      </c>
      <c r="H155" s="1" t="s">
        <v>216</v>
      </c>
      <c r="I155" s="6">
        <v>268</v>
      </c>
      <c r="J155" s="1" t="str">
        <f>VLOOKUP(BUDGET!K155,IE!$A$2:$C$132,3,FALSE)</f>
        <v>Motor Vehicle Expenses</v>
      </c>
      <c r="K155" s="24">
        <v>394</v>
      </c>
      <c r="L155" s="1" t="s">
        <v>158</v>
      </c>
      <c r="M155" s="22">
        <v>700</v>
      </c>
      <c r="N155" s="22"/>
    </row>
    <row r="156" spans="1:15">
      <c r="A156" s="6">
        <v>30</v>
      </c>
      <c r="B156" s="1" t="s">
        <v>286</v>
      </c>
      <c r="C156" s="6">
        <v>278</v>
      </c>
      <c r="D156" s="1" t="s">
        <v>214</v>
      </c>
      <c r="E156" s="12" t="s">
        <v>42</v>
      </c>
      <c r="G156" s="6">
        <v>278</v>
      </c>
      <c r="H156" s="1" t="s">
        <v>216</v>
      </c>
      <c r="I156" s="6">
        <v>268</v>
      </c>
      <c r="J156" s="1" t="str">
        <f>VLOOKUP(BUDGET!K156,IE!$A$2:$C$132,3,FALSE)</f>
        <v>Motor Vehicle Expenses</v>
      </c>
      <c r="K156" s="24">
        <v>395</v>
      </c>
      <c r="L156" s="1" t="s">
        <v>159</v>
      </c>
      <c r="M156" s="22">
        <v>1000</v>
      </c>
      <c r="N156" s="22"/>
    </row>
    <row r="157" spans="1:15">
      <c r="A157" s="6">
        <v>30</v>
      </c>
      <c r="B157" s="1" t="s">
        <v>286</v>
      </c>
      <c r="C157" s="6">
        <v>278</v>
      </c>
      <c r="D157" s="1" t="s">
        <v>214</v>
      </c>
      <c r="E157" s="12" t="s">
        <v>42</v>
      </c>
      <c r="G157" s="6">
        <v>278</v>
      </c>
      <c r="H157" s="1" t="s">
        <v>216</v>
      </c>
      <c r="I157" s="6">
        <v>272</v>
      </c>
      <c r="J157" s="1" t="str">
        <f>VLOOKUP(BUDGET!K157,IE!$A$2:$C$132,3,FALSE)</f>
        <v>Property Expenses</v>
      </c>
      <c r="K157" s="24">
        <v>382</v>
      </c>
      <c r="L157" s="1" t="s">
        <v>144</v>
      </c>
      <c r="M157" s="22">
        <v>500</v>
      </c>
      <c r="N157" s="22"/>
    </row>
    <row r="158" spans="1:15">
      <c r="A158" s="6">
        <v>30</v>
      </c>
      <c r="B158" s="1" t="s">
        <v>286</v>
      </c>
      <c r="C158" s="6">
        <v>278</v>
      </c>
      <c r="D158" s="1" t="s">
        <v>214</v>
      </c>
      <c r="E158" s="12" t="s">
        <v>42</v>
      </c>
      <c r="G158" s="6">
        <v>278</v>
      </c>
      <c r="H158" s="1" t="s">
        <v>216</v>
      </c>
      <c r="I158" s="6">
        <v>278</v>
      </c>
      <c r="J158" s="1" t="str">
        <f>VLOOKUP(BUDGET!K158,IE!$A$2:$C$132,3,FALSE)</f>
        <v>Materials &amp; Services</v>
      </c>
      <c r="K158" s="24">
        <v>353</v>
      </c>
      <c r="L158" s="1" t="s">
        <v>112</v>
      </c>
      <c r="M158" s="22">
        <v>3500</v>
      </c>
      <c r="N158" s="22"/>
    </row>
    <row r="159" spans="1:15">
      <c r="A159" s="6">
        <v>30</v>
      </c>
      <c r="B159" s="1" t="s">
        <v>286</v>
      </c>
      <c r="C159" s="6">
        <v>278</v>
      </c>
      <c r="D159" s="1" t="s">
        <v>214</v>
      </c>
      <c r="E159" s="12" t="s">
        <v>42</v>
      </c>
      <c r="G159" s="6">
        <v>278</v>
      </c>
      <c r="H159" s="1" t="s">
        <v>216</v>
      </c>
      <c r="I159" s="6">
        <v>900</v>
      </c>
      <c r="J159" s="1" t="str">
        <f>VLOOKUP(BUDGET!K159,IE!$A$2:$C$132,3,FALSE)</f>
        <v>Internal Transfer</v>
      </c>
      <c r="K159" s="24">
        <v>904</v>
      </c>
      <c r="L159" s="1" t="s">
        <v>161</v>
      </c>
      <c r="M159" s="22">
        <v>2000</v>
      </c>
      <c r="N159" s="22"/>
    </row>
    <row r="160" spans="1:15">
      <c r="A160" s="6">
        <v>40</v>
      </c>
      <c r="B160" s="1" t="s">
        <v>218</v>
      </c>
      <c r="C160" s="6">
        <v>400</v>
      </c>
      <c r="D160" s="1" t="s">
        <v>219</v>
      </c>
      <c r="E160" s="12" t="s">
        <v>43</v>
      </c>
      <c r="F160" s="1" t="s">
        <v>220</v>
      </c>
      <c r="G160" s="1" t="s">
        <v>12</v>
      </c>
      <c r="I160" s="6">
        <v>124</v>
      </c>
      <c r="J160" s="1" t="str">
        <f>VLOOKUP(BUDGET!K160,IE!$A$2:$C$132,3,FALSE)</f>
        <v>Grants, Subsidies, Contributions &amp; Donations</v>
      </c>
      <c r="K160" s="24">
        <v>181</v>
      </c>
      <c r="L160" s="1" t="s">
        <v>108</v>
      </c>
      <c r="M160" s="20">
        <v>-1281740</v>
      </c>
      <c r="N160" s="20"/>
      <c r="O160" s="1" t="s">
        <v>405</v>
      </c>
    </row>
    <row r="161" spans="1:15">
      <c r="A161" s="6">
        <v>40</v>
      </c>
      <c r="B161" s="1" t="s">
        <v>218</v>
      </c>
      <c r="C161" s="6">
        <v>400</v>
      </c>
      <c r="D161" s="1" t="s">
        <v>219</v>
      </c>
      <c r="E161" s="12" t="s">
        <v>44</v>
      </c>
      <c r="G161" s="6">
        <v>400</v>
      </c>
      <c r="H161" s="1" t="s">
        <v>221</v>
      </c>
      <c r="I161" s="6">
        <v>201</v>
      </c>
      <c r="J161" s="1" t="str">
        <f>VLOOKUP(BUDGET!K161,IE!$A$2:$C$132,3,FALSE)</f>
        <v>Salaries &amp; Wages</v>
      </c>
      <c r="K161" s="24">
        <v>210</v>
      </c>
      <c r="L161" s="1" t="s">
        <v>117</v>
      </c>
      <c r="M161" s="22">
        <v>273369</v>
      </c>
      <c r="N161" s="22"/>
      <c r="O161" s="1" t="s">
        <v>435</v>
      </c>
    </row>
    <row r="162" spans="1:15">
      <c r="A162" s="6">
        <v>40</v>
      </c>
      <c r="B162" s="1" t="s">
        <v>218</v>
      </c>
      <c r="C162" s="6">
        <v>400</v>
      </c>
      <c r="D162" s="1" t="s">
        <v>219</v>
      </c>
      <c r="E162" s="12" t="s">
        <v>44</v>
      </c>
      <c r="G162" s="6">
        <v>400</v>
      </c>
      <c r="H162" s="1" t="s">
        <v>221</v>
      </c>
      <c r="I162" s="6">
        <v>204</v>
      </c>
      <c r="J162" s="1" t="str">
        <f>VLOOKUP(BUDGET!K162,IE!$A$2:$C$132,3,FALSE)</f>
        <v>Salaries &amp; Wages</v>
      </c>
      <c r="K162" s="24">
        <v>240</v>
      </c>
      <c r="L162" s="1" t="s">
        <v>118</v>
      </c>
      <c r="M162" s="22">
        <f>M161*12%</f>
        <v>32804.28</v>
      </c>
      <c r="N162" s="22"/>
      <c r="O162" s="1" t="s">
        <v>388</v>
      </c>
    </row>
    <row r="163" spans="1:15">
      <c r="A163" s="6">
        <v>40</v>
      </c>
      <c r="B163" s="1" t="s">
        <v>218</v>
      </c>
      <c r="C163" s="6">
        <v>400</v>
      </c>
      <c r="D163" s="1" t="s">
        <v>219</v>
      </c>
      <c r="E163" s="12" t="s">
        <v>44</v>
      </c>
      <c r="G163" s="6">
        <v>400</v>
      </c>
      <c r="H163" s="1" t="s">
        <v>221</v>
      </c>
      <c r="I163" s="6">
        <v>205</v>
      </c>
      <c r="J163" s="1" t="str">
        <f>VLOOKUP(BUDGET!K163,IE!$A$2:$C$132,3,FALSE)</f>
        <v>Salaries &amp; Wages</v>
      </c>
      <c r="K163" s="24">
        <v>251</v>
      </c>
      <c r="L163" s="1" t="s">
        <v>402</v>
      </c>
      <c r="M163" s="22">
        <v>2500</v>
      </c>
      <c r="N163" s="22"/>
    </row>
    <row r="164" spans="1:15">
      <c r="A164" s="6">
        <v>40</v>
      </c>
      <c r="B164" s="1" t="s">
        <v>218</v>
      </c>
      <c r="C164" s="6">
        <v>400</v>
      </c>
      <c r="D164" s="1" t="s">
        <v>219</v>
      </c>
      <c r="E164" s="12" t="s">
        <v>44</v>
      </c>
      <c r="G164" s="6">
        <v>400</v>
      </c>
      <c r="H164" s="1" t="s">
        <v>221</v>
      </c>
      <c r="I164" s="6">
        <v>205</v>
      </c>
      <c r="J164" s="1" t="str">
        <f>VLOOKUP(BUDGET!K164,IE!$A$2:$C$132,3,FALSE)</f>
        <v>Salaries &amp; Wages</v>
      </c>
      <c r="K164" s="24">
        <v>252</v>
      </c>
      <c r="L164" s="1" t="s">
        <v>180</v>
      </c>
      <c r="M164" s="22">
        <v>10000</v>
      </c>
      <c r="N164" s="22"/>
      <c r="O164" s="1" t="s">
        <v>409</v>
      </c>
    </row>
    <row r="165" spans="1:15">
      <c r="A165" s="6">
        <v>40</v>
      </c>
      <c r="B165" s="1" t="s">
        <v>218</v>
      </c>
      <c r="C165" s="6">
        <v>400</v>
      </c>
      <c r="D165" s="1" t="s">
        <v>219</v>
      </c>
      <c r="E165" s="12" t="s">
        <v>44</v>
      </c>
      <c r="G165" s="6">
        <v>400</v>
      </c>
      <c r="H165" s="1" t="s">
        <v>221</v>
      </c>
      <c r="I165" s="6">
        <v>205</v>
      </c>
      <c r="J165" s="1" t="str">
        <f>VLOOKUP(BUDGET!K165,IE!$A$2:$C$132,3,FALSE)</f>
        <v>Salaries &amp; Wages</v>
      </c>
      <c r="K165" s="24">
        <v>253</v>
      </c>
      <c r="L165" s="1" t="s">
        <v>136</v>
      </c>
      <c r="M165" s="22">
        <v>5000</v>
      </c>
      <c r="N165" s="22"/>
    </row>
    <row r="166" spans="1:15">
      <c r="A166" s="6">
        <v>40</v>
      </c>
      <c r="B166" s="1" t="s">
        <v>218</v>
      </c>
      <c r="C166" s="6">
        <v>400</v>
      </c>
      <c r="D166" s="1" t="s">
        <v>219</v>
      </c>
      <c r="E166" s="12" t="s">
        <v>44</v>
      </c>
      <c r="G166" s="6">
        <v>400</v>
      </c>
      <c r="H166" s="1" t="s">
        <v>221</v>
      </c>
      <c r="I166" s="6">
        <v>205</v>
      </c>
      <c r="J166" s="1" t="str">
        <f>VLOOKUP(BUDGET!K166,IE!$A$2:$C$132,3,FALSE)</f>
        <v>Salaries &amp; Wages</v>
      </c>
      <c r="K166" s="24">
        <v>254</v>
      </c>
      <c r="L166" s="1" t="s">
        <v>137</v>
      </c>
      <c r="M166" s="22">
        <v>1000</v>
      </c>
      <c r="N166" s="22"/>
    </row>
    <row r="167" spans="1:15">
      <c r="A167" s="6">
        <v>40</v>
      </c>
      <c r="B167" s="1" t="s">
        <v>218</v>
      </c>
      <c r="C167" s="6">
        <v>400</v>
      </c>
      <c r="D167" s="1" t="s">
        <v>219</v>
      </c>
      <c r="E167" s="12" t="s">
        <v>44</v>
      </c>
      <c r="G167" s="6">
        <v>400</v>
      </c>
      <c r="H167" s="1" t="s">
        <v>221</v>
      </c>
      <c r="I167" s="6">
        <v>205</v>
      </c>
      <c r="J167" s="1" t="str">
        <f>VLOOKUP(BUDGET!K167,IE!$A$2:$C$132,3,FALSE)</f>
        <v>Salaries &amp; Wages</v>
      </c>
      <c r="K167" s="24">
        <v>256</v>
      </c>
      <c r="L167" s="1" t="s">
        <v>119</v>
      </c>
      <c r="M167" s="22">
        <f>(M161+M162)*1.5%</f>
        <v>4592.5992000000006</v>
      </c>
      <c r="N167" s="22"/>
    </row>
    <row r="168" spans="1:15">
      <c r="A168" s="6">
        <v>40</v>
      </c>
      <c r="B168" s="1" t="s">
        <v>218</v>
      </c>
      <c r="C168" s="6">
        <v>400</v>
      </c>
      <c r="D168" s="1" t="s">
        <v>219</v>
      </c>
      <c r="E168" s="12" t="s">
        <v>44</v>
      </c>
      <c r="G168" s="6">
        <v>400</v>
      </c>
      <c r="H168" s="1" t="s">
        <v>221</v>
      </c>
      <c r="I168" s="6">
        <v>254</v>
      </c>
      <c r="J168" s="1" t="str">
        <f>VLOOKUP(BUDGET!K168,IE!$A$2:$C$132,3,FALSE)</f>
        <v>Materials &amp; Services</v>
      </c>
      <c r="K168" s="24">
        <v>302</v>
      </c>
      <c r="L168" s="1" t="s">
        <v>227</v>
      </c>
      <c r="M168" s="22">
        <v>20000</v>
      </c>
      <c r="N168" s="22"/>
      <c r="O168" s="1" t="s">
        <v>403</v>
      </c>
    </row>
    <row r="169" spans="1:15">
      <c r="A169" s="6">
        <v>40</v>
      </c>
      <c r="B169" s="1" t="s">
        <v>218</v>
      </c>
      <c r="C169" s="6">
        <v>400</v>
      </c>
      <c r="D169" s="1" t="s">
        <v>219</v>
      </c>
      <c r="E169" s="12" t="s">
        <v>44</v>
      </c>
      <c r="G169" s="6">
        <v>400</v>
      </c>
      <c r="H169" s="1" t="s">
        <v>221</v>
      </c>
      <c r="I169" s="6">
        <v>251</v>
      </c>
      <c r="J169" s="1" t="str">
        <f>VLOOKUP(BUDGET!K169,IE!$A$2:$C$132,3,FALSE)</f>
        <v>Materials &amp; Services</v>
      </c>
      <c r="K169" s="24">
        <v>311</v>
      </c>
      <c r="L169" s="1" t="s">
        <v>226</v>
      </c>
      <c r="M169" s="22">
        <v>90000</v>
      </c>
      <c r="N169" s="22"/>
      <c r="O169" s="1" t="s">
        <v>437</v>
      </c>
    </row>
    <row r="170" spans="1:15">
      <c r="A170" s="6">
        <v>40</v>
      </c>
      <c r="B170" s="1" t="s">
        <v>218</v>
      </c>
      <c r="C170" s="6">
        <v>400</v>
      </c>
      <c r="D170" s="1" t="s">
        <v>219</v>
      </c>
      <c r="E170" s="12" t="s">
        <v>44</v>
      </c>
      <c r="G170" s="6">
        <v>400</v>
      </c>
      <c r="H170" s="1" t="s">
        <v>221</v>
      </c>
      <c r="I170" s="6">
        <v>250</v>
      </c>
      <c r="J170" s="1" t="str">
        <f>VLOOKUP(BUDGET!K170,IE!$A$2:$C$132,3,FALSE)</f>
        <v>Materials &amp; Services</v>
      </c>
      <c r="K170" s="24">
        <v>317</v>
      </c>
      <c r="L170" s="1" t="s">
        <v>120</v>
      </c>
      <c r="M170" s="22">
        <v>1500</v>
      </c>
      <c r="N170" s="22"/>
    </row>
    <row r="171" spans="1:15">
      <c r="A171" s="6">
        <v>40</v>
      </c>
      <c r="B171" s="1" t="s">
        <v>218</v>
      </c>
      <c r="C171" s="6">
        <v>400</v>
      </c>
      <c r="D171" s="1" t="s">
        <v>219</v>
      </c>
      <c r="E171" s="12" t="s">
        <v>44</v>
      </c>
      <c r="G171" s="6">
        <v>400</v>
      </c>
      <c r="H171" s="1" t="s">
        <v>221</v>
      </c>
      <c r="I171" s="6">
        <v>250</v>
      </c>
      <c r="J171" s="1" t="str">
        <f>VLOOKUP(BUDGET!K171,IE!$A$2:$C$132,3,FALSE)</f>
        <v>Materials &amp; Services</v>
      </c>
      <c r="K171" s="24">
        <v>319</v>
      </c>
      <c r="L171" s="1" t="s">
        <v>167</v>
      </c>
      <c r="M171" s="22">
        <v>2000</v>
      </c>
      <c r="N171" s="22"/>
    </row>
    <row r="172" spans="1:15">
      <c r="A172" s="6">
        <v>40</v>
      </c>
      <c r="B172" s="1" t="s">
        <v>218</v>
      </c>
      <c r="C172" s="6">
        <v>400</v>
      </c>
      <c r="D172" s="1" t="s">
        <v>219</v>
      </c>
      <c r="E172" s="12" t="s">
        <v>44</v>
      </c>
      <c r="G172" s="6">
        <v>400</v>
      </c>
      <c r="H172" s="1" t="s">
        <v>221</v>
      </c>
      <c r="I172" s="6">
        <v>254</v>
      </c>
      <c r="J172" s="1" t="str">
        <f>VLOOKUP(BUDGET!K172,IE!$A$2:$C$132,3,FALSE)</f>
        <v>Materials &amp; Services</v>
      </c>
      <c r="K172" s="24">
        <v>320</v>
      </c>
      <c r="L172" s="1" t="s">
        <v>190</v>
      </c>
      <c r="M172" s="22">
        <v>75000</v>
      </c>
      <c r="N172" s="22"/>
      <c r="O172" s="1" t="s">
        <v>436</v>
      </c>
    </row>
    <row r="173" spans="1:15">
      <c r="A173" s="6">
        <v>40</v>
      </c>
      <c r="B173" s="1" t="s">
        <v>218</v>
      </c>
      <c r="C173" s="6">
        <v>400</v>
      </c>
      <c r="D173" s="1" t="s">
        <v>219</v>
      </c>
      <c r="E173" s="12" t="s">
        <v>44</v>
      </c>
      <c r="G173" s="6">
        <v>400</v>
      </c>
      <c r="H173" s="1" t="s">
        <v>221</v>
      </c>
      <c r="I173" s="6">
        <v>254</v>
      </c>
      <c r="J173" s="1" t="str">
        <f>VLOOKUP(BUDGET!K173,IE!$A$2:$C$132,3,FALSE)</f>
        <v>Materials &amp; Services</v>
      </c>
      <c r="K173" s="24">
        <v>321</v>
      </c>
      <c r="L173" s="1" t="s">
        <v>191</v>
      </c>
      <c r="M173" s="22">
        <v>45000</v>
      </c>
      <c r="N173" s="22"/>
      <c r="O173" s="1" t="s">
        <v>444</v>
      </c>
    </row>
    <row r="174" spans="1:15">
      <c r="A174" s="6">
        <v>40</v>
      </c>
      <c r="B174" s="1" t="s">
        <v>218</v>
      </c>
      <c r="C174" s="6">
        <v>400</v>
      </c>
      <c r="D174" s="1" t="s">
        <v>219</v>
      </c>
      <c r="E174" s="12" t="s">
        <v>44</v>
      </c>
      <c r="G174" s="6">
        <v>400</v>
      </c>
      <c r="H174" s="1" t="s">
        <v>221</v>
      </c>
      <c r="I174" s="6">
        <v>252</v>
      </c>
      <c r="J174" s="1" t="str">
        <f>VLOOKUP(BUDGET!K174,IE!$A$2:$C$132,3,FALSE)</f>
        <v>Materials &amp; Services</v>
      </c>
      <c r="K174" s="24">
        <v>324</v>
      </c>
      <c r="L174" s="1" t="s">
        <v>189</v>
      </c>
      <c r="M174" s="22">
        <v>7500</v>
      </c>
      <c r="N174" s="22"/>
    </row>
    <row r="175" spans="1:15">
      <c r="A175" s="6">
        <v>40</v>
      </c>
      <c r="B175" s="1" t="s">
        <v>218</v>
      </c>
      <c r="C175" s="6">
        <v>400</v>
      </c>
      <c r="D175" s="1" t="s">
        <v>219</v>
      </c>
      <c r="E175" s="12" t="s">
        <v>44</v>
      </c>
      <c r="G175" s="6">
        <v>400</v>
      </c>
      <c r="H175" s="1" t="s">
        <v>221</v>
      </c>
      <c r="I175" s="6">
        <v>254</v>
      </c>
      <c r="J175" s="1" t="str">
        <f>VLOOKUP(BUDGET!K175,IE!$A$2:$C$132,3,FALSE)</f>
        <v>Materials &amp; Services</v>
      </c>
      <c r="K175" s="24">
        <v>326</v>
      </c>
      <c r="L175" s="1" t="s">
        <v>228</v>
      </c>
      <c r="M175" s="22">
        <v>6500</v>
      </c>
      <c r="N175" s="22"/>
      <c r="O175" s="1" t="s">
        <v>404</v>
      </c>
    </row>
    <row r="176" spans="1:15">
      <c r="A176" s="6">
        <v>40</v>
      </c>
      <c r="B176" s="1" t="s">
        <v>218</v>
      </c>
      <c r="C176" s="6">
        <v>400</v>
      </c>
      <c r="D176" s="1" t="s">
        <v>219</v>
      </c>
      <c r="E176" s="12" t="s">
        <v>44</v>
      </c>
      <c r="G176" s="6">
        <v>400</v>
      </c>
      <c r="H176" s="1" t="s">
        <v>221</v>
      </c>
      <c r="I176" s="6">
        <v>250</v>
      </c>
      <c r="J176" s="1" t="str">
        <f>VLOOKUP(BUDGET!K176,IE!$A$2:$C$132,3,FALSE)</f>
        <v>Materials &amp; Services</v>
      </c>
      <c r="K176" s="24">
        <v>329</v>
      </c>
      <c r="L176" s="1" t="s">
        <v>222</v>
      </c>
      <c r="M176" s="22">
        <v>5000</v>
      </c>
      <c r="N176" s="22"/>
    </row>
    <row r="177" spans="1:15">
      <c r="A177" s="6">
        <v>40</v>
      </c>
      <c r="B177" s="1" t="s">
        <v>218</v>
      </c>
      <c r="C177" s="6">
        <v>400</v>
      </c>
      <c r="D177" s="1" t="s">
        <v>219</v>
      </c>
      <c r="E177" s="12" t="s">
        <v>44</v>
      </c>
      <c r="G177" s="6">
        <v>400</v>
      </c>
      <c r="H177" s="1" t="s">
        <v>221</v>
      </c>
      <c r="I177" s="6">
        <v>270</v>
      </c>
      <c r="J177" s="1" t="str">
        <f>VLOOKUP(BUDGET!K177,IE!$A$2:$C$132,3,FALSE)</f>
        <v>Materials &amp; Services</v>
      </c>
      <c r="K177" s="24">
        <v>333</v>
      </c>
      <c r="L177" s="1" t="s">
        <v>169</v>
      </c>
      <c r="M177" s="22">
        <v>10000</v>
      </c>
      <c r="N177" s="22"/>
    </row>
    <row r="178" spans="1:15">
      <c r="A178" s="6">
        <v>40</v>
      </c>
      <c r="B178" s="1" t="s">
        <v>218</v>
      </c>
      <c r="C178" s="6">
        <v>400</v>
      </c>
      <c r="D178" s="1" t="s">
        <v>219</v>
      </c>
      <c r="E178" s="12" t="s">
        <v>44</v>
      </c>
      <c r="G178" s="6">
        <v>400</v>
      </c>
      <c r="H178" s="1" t="s">
        <v>221</v>
      </c>
      <c r="I178" s="6">
        <v>250</v>
      </c>
      <c r="J178" s="1" t="str">
        <f>VLOOKUP(BUDGET!K178,IE!$A$2:$C$132,3,FALSE)</f>
        <v>Materials &amp; Services</v>
      </c>
      <c r="K178" s="24">
        <v>350</v>
      </c>
      <c r="L178" s="1" t="s">
        <v>121</v>
      </c>
      <c r="M178" s="22">
        <v>4000</v>
      </c>
      <c r="N178" s="22"/>
    </row>
    <row r="179" spans="1:15">
      <c r="A179" s="6">
        <v>40</v>
      </c>
      <c r="B179" s="1" t="s">
        <v>218</v>
      </c>
      <c r="C179" s="6">
        <v>400</v>
      </c>
      <c r="D179" s="1" t="s">
        <v>219</v>
      </c>
      <c r="E179" s="12" t="s">
        <v>44</v>
      </c>
      <c r="G179" s="6">
        <v>400</v>
      </c>
      <c r="H179" s="1" t="s">
        <v>221</v>
      </c>
      <c r="I179" s="6">
        <v>250</v>
      </c>
      <c r="J179" s="1" t="str">
        <f>VLOOKUP(BUDGET!K179,IE!$A$2:$C$132,3,FALSE)</f>
        <v>Materials &amp; Services</v>
      </c>
      <c r="K179" s="24">
        <v>352</v>
      </c>
      <c r="L179" s="1" t="s">
        <v>224</v>
      </c>
      <c r="M179" s="22">
        <v>26500</v>
      </c>
      <c r="N179" s="22"/>
    </row>
    <row r="180" spans="1:15">
      <c r="A180" s="6">
        <v>40</v>
      </c>
      <c r="B180" s="1" t="s">
        <v>218</v>
      </c>
      <c r="C180" s="6">
        <v>400</v>
      </c>
      <c r="D180" s="1" t="s">
        <v>219</v>
      </c>
      <c r="E180" s="12" t="s">
        <v>44</v>
      </c>
      <c r="G180" s="6">
        <v>400</v>
      </c>
      <c r="H180" s="1" t="s">
        <v>221</v>
      </c>
      <c r="I180" s="6">
        <v>278</v>
      </c>
      <c r="J180" s="1" t="str">
        <f>VLOOKUP(BUDGET!K180,IE!$A$2:$C$132,3,FALSE)</f>
        <v>Materials &amp; Services</v>
      </c>
      <c r="K180" s="24">
        <v>353</v>
      </c>
      <c r="L180" s="1" t="s">
        <v>112</v>
      </c>
      <c r="M180" s="22">
        <v>3000</v>
      </c>
      <c r="N180" s="22"/>
    </row>
    <row r="181" spans="1:15">
      <c r="A181" s="6">
        <v>40</v>
      </c>
      <c r="B181" s="1" t="s">
        <v>218</v>
      </c>
      <c r="C181" s="6">
        <v>400</v>
      </c>
      <c r="D181" s="1" t="s">
        <v>219</v>
      </c>
      <c r="E181" s="12" t="s">
        <v>44</v>
      </c>
      <c r="G181" s="6">
        <v>400</v>
      </c>
      <c r="H181" s="1" t="s">
        <v>221</v>
      </c>
      <c r="I181" s="6">
        <v>250</v>
      </c>
      <c r="J181" s="1" t="str">
        <f>VLOOKUP(BUDGET!K181,IE!$A$2:$C$132,3,FALSE)</f>
        <v>Materials &amp; Services</v>
      </c>
      <c r="K181" s="24">
        <v>363</v>
      </c>
      <c r="L181" s="1" t="s">
        <v>188</v>
      </c>
      <c r="M181" s="22">
        <v>250</v>
      </c>
      <c r="N181" s="22"/>
    </row>
    <row r="182" spans="1:15">
      <c r="A182" s="6">
        <v>40</v>
      </c>
      <c r="B182" s="1" t="s">
        <v>218</v>
      </c>
      <c r="C182" s="6">
        <v>400</v>
      </c>
      <c r="D182" s="1" t="s">
        <v>219</v>
      </c>
      <c r="E182" s="12" t="s">
        <v>44</v>
      </c>
      <c r="G182" s="6">
        <v>400</v>
      </c>
      <c r="H182" s="1" t="s">
        <v>221</v>
      </c>
      <c r="I182" s="6">
        <v>250</v>
      </c>
      <c r="J182" s="1" t="str">
        <f>VLOOKUP(BUDGET!K182,IE!$A$2:$C$132,3,FALSE)</f>
        <v>Materials &amp; Services</v>
      </c>
      <c r="K182" s="24">
        <v>364</v>
      </c>
      <c r="L182" s="1" t="s">
        <v>141</v>
      </c>
      <c r="M182" s="22">
        <v>2000</v>
      </c>
      <c r="N182" s="22"/>
    </row>
    <row r="183" spans="1:15">
      <c r="A183" s="6">
        <v>40</v>
      </c>
      <c r="B183" s="1" t="s">
        <v>218</v>
      </c>
      <c r="C183" s="6">
        <v>400</v>
      </c>
      <c r="D183" s="1" t="s">
        <v>219</v>
      </c>
      <c r="E183" s="12" t="s">
        <v>44</v>
      </c>
      <c r="G183" s="6">
        <v>400</v>
      </c>
      <c r="H183" s="1" t="s">
        <v>221</v>
      </c>
      <c r="I183" s="6">
        <v>250</v>
      </c>
      <c r="J183" s="1" t="str">
        <f>VLOOKUP(BUDGET!K183,IE!$A$2:$C$132,3,FALSE)</f>
        <v>Materials &amp; Services</v>
      </c>
      <c r="K183" s="24">
        <v>367</v>
      </c>
      <c r="L183" s="1" t="s">
        <v>174</v>
      </c>
      <c r="M183" s="22">
        <v>5000</v>
      </c>
      <c r="N183" s="22"/>
    </row>
    <row r="184" spans="1:15">
      <c r="A184" s="6">
        <v>40</v>
      </c>
      <c r="B184" s="1" t="s">
        <v>218</v>
      </c>
      <c r="C184" s="6">
        <v>400</v>
      </c>
      <c r="D184" s="1" t="s">
        <v>219</v>
      </c>
      <c r="E184" s="12" t="s">
        <v>44</v>
      </c>
      <c r="G184" s="6">
        <v>400</v>
      </c>
      <c r="H184" s="1" t="s">
        <v>221</v>
      </c>
      <c r="I184" s="6">
        <v>250</v>
      </c>
      <c r="J184" s="1" t="str">
        <f>VLOOKUP(BUDGET!K184,IE!$A$2:$C$132,3,FALSE)</f>
        <v>Materials &amp; Services</v>
      </c>
      <c r="K184" s="24">
        <v>369</v>
      </c>
      <c r="L184" s="1" t="s">
        <v>123</v>
      </c>
      <c r="M184" s="22">
        <v>10000</v>
      </c>
      <c r="N184" s="22"/>
    </row>
    <row r="185" spans="1:15">
      <c r="A185" s="6">
        <v>40</v>
      </c>
      <c r="B185" s="1" t="s">
        <v>218</v>
      </c>
      <c r="C185" s="6">
        <v>400</v>
      </c>
      <c r="D185" s="1" t="s">
        <v>219</v>
      </c>
      <c r="E185" s="12" t="s">
        <v>44</v>
      </c>
      <c r="G185" s="6">
        <v>400</v>
      </c>
      <c r="H185" s="1" t="s">
        <v>221</v>
      </c>
      <c r="I185" s="6">
        <v>275</v>
      </c>
      <c r="J185" s="1" t="str">
        <f>VLOOKUP(BUDGET!K185,IE!$A$2:$C$132,3,FALSE)</f>
        <v>Materials &amp; Services</v>
      </c>
      <c r="K185" s="24">
        <v>373</v>
      </c>
      <c r="L185" s="1" t="s">
        <v>124</v>
      </c>
      <c r="M185" s="22">
        <v>10000</v>
      </c>
      <c r="N185" s="22"/>
      <c r="O185" s="1" t="s">
        <v>438</v>
      </c>
    </row>
    <row r="186" spans="1:15">
      <c r="A186" s="6">
        <v>40</v>
      </c>
      <c r="B186" s="1" t="s">
        <v>218</v>
      </c>
      <c r="C186" s="6">
        <v>400</v>
      </c>
      <c r="D186" s="1" t="s">
        <v>219</v>
      </c>
      <c r="E186" s="12" t="s">
        <v>44</v>
      </c>
      <c r="G186" s="6">
        <v>400</v>
      </c>
      <c r="H186" s="1" t="s">
        <v>221</v>
      </c>
      <c r="I186" s="6">
        <v>272</v>
      </c>
      <c r="J186" s="1" t="str">
        <f>VLOOKUP(BUDGET!K186,IE!$A$2:$C$132,3,FALSE)</f>
        <v>Property Expenses</v>
      </c>
      <c r="K186" s="24">
        <v>380</v>
      </c>
      <c r="L186" s="1" t="s">
        <v>127</v>
      </c>
      <c r="M186" s="22">
        <v>1500</v>
      </c>
      <c r="N186" s="22"/>
      <c r="O186" s="1" t="s">
        <v>439</v>
      </c>
    </row>
    <row r="187" spans="1:15">
      <c r="A187" s="6">
        <v>40</v>
      </c>
      <c r="B187" s="1" t="s">
        <v>218</v>
      </c>
      <c r="C187" s="6">
        <v>400</v>
      </c>
      <c r="D187" s="1" t="s">
        <v>219</v>
      </c>
      <c r="E187" s="12" t="s">
        <v>44</v>
      </c>
      <c r="G187" s="6">
        <v>400</v>
      </c>
      <c r="H187" s="1" t="s">
        <v>221</v>
      </c>
      <c r="I187" s="6">
        <v>301</v>
      </c>
      <c r="J187" s="1" t="str">
        <f>VLOOKUP(BUDGET!K187,IE!$A$2:$C$132,3,FALSE)</f>
        <v>Finance Costs</v>
      </c>
      <c r="K187" s="24">
        <v>401</v>
      </c>
      <c r="L187" s="1" t="s">
        <v>231</v>
      </c>
      <c r="M187" s="22">
        <v>3000</v>
      </c>
      <c r="N187" s="22"/>
    </row>
    <row r="188" spans="1:15">
      <c r="A188" s="6">
        <v>40</v>
      </c>
      <c r="B188" s="1" t="s">
        <v>218</v>
      </c>
      <c r="C188" s="6">
        <v>400</v>
      </c>
      <c r="D188" s="1" t="s">
        <v>219</v>
      </c>
      <c r="E188" s="12" t="s">
        <v>44</v>
      </c>
      <c r="G188" s="6">
        <v>400</v>
      </c>
      <c r="H188" s="1" t="s">
        <v>221</v>
      </c>
      <c r="I188" s="6">
        <v>810</v>
      </c>
      <c r="J188" s="1" t="str">
        <f>VLOOKUP(BUDGET!K188,IE!$A$2:$C$132,3,FALSE)</f>
        <v>Capital Expenses</v>
      </c>
      <c r="K188" s="24">
        <v>810</v>
      </c>
      <c r="L188" s="1" t="s">
        <v>182</v>
      </c>
      <c r="M188" s="22">
        <v>15000</v>
      </c>
      <c r="N188" s="22"/>
      <c r="O188" s="1" t="s">
        <v>582</v>
      </c>
    </row>
    <row r="189" spans="1:15">
      <c r="A189" s="6">
        <v>40</v>
      </c>
      <c r="B189" s="1" t="s">
        <v>218</v>
      </c>
      <c r="C189" s="6">
        <v>400</v>
      </c>
      <c r="D189" s="1" t="s">
        <v>219</v>
      </c>
      <c r="E189" s="12" t="s">
        <v>44</v>
      </c>
      <c r="G189" s="6">
        <v>400</v>
      </c>
      <c r="H189" s="1" t="s">
        <v>221</v>
      </c>
      <c r="I189" s="6">
        <v>900</v>
      </c>
      <c r="J189" s="1" t="str">
        <f>VLOOKUP(BUDGET!K189,IE!$A$2:$C$132,3,FALSE)</f>
        <v>Internal Transfer</v>
      </c>
      <c r="K189" s="24">
        <v>903</v>
      </c>
      <c r="L189" s="1" t="s">
        <v>147</v>
      </c>
      <c r="M189" s="22">
        <v>11200</v>
      </c>
      <c r="N189" s="22"/>
    </row>
    <row r="190" spans="1:15">
      <c r="A190" s="6">
        <v>40</v>
      </c>
      <c r="B190" s="1" t="s">
        <v>218</v>
      </c>
      <c r="C190" s="6">
        <v>400</v>
      </c>
      <c r="D190" s="1" t="s">
        <v>219</v>
      </c>
      <c r="E190" s="12" t="s">
        <v>44</v>
      </c>
      <c r="G190" s="6">
        <v>400</v>
      </c>
      <c r="H190" s="1" t="s">
        <v>221</v>
      </c>
      <c r="I190" s="6">
        <v>900</v>
      </c>
      <c r="J190" s="1" t="str">
        <f>VLOOKUP(BUDGET!K190,IE!$A$2:$C$132,3,FALSE)</f>
        <v>Internal Transfer</v>
      </c>
      <c r="K190" s="24">
        <v>910</v>
      </c>
      <c r="L190" s="1" t="s">
        <v>125</v>
      </c>
      <c r="M190" s="22">
        <f>-M160 - SUM(M161:M189)</f>
        <v>598524.12079999992</v>
      </c>
      <c r="N190" s="22"/>
    </row>
    <row r="191" spans="1:15">
      <c r="A191" s="6">
        <v>40</v>
      </c>
      <c r="B191" s="1" t="s">
        <v>218</v>
      </c>
      <c r="C191" s="6">
        <v>405</v>
      </c>
      <c r="D191" s="1" t="s">
        <v>232</v>
      </c>
      <c r="E191" s="12" t="s">
        <v>45</v>
      </c>
      <c r="F191" s="1" t="s">
        <v>233</v>
      </c>
      <c r="G191" s="1" t="s">
        <v>12</v>
      </c>
      <c r="I191" s="6">
        <v>124</v>
      </c>
      <c r="J191" s="1" t="str">
        <f>VLOOKUP(BUDGET!K191,IE!$A$2:$C$132,3,FALSE)</f>
        <v>Grants, Subsidies, Contributions &amp; Donations</v>
      </c>
      <c r="K191" s="24">
        <v>181</v>
      </c>
      <c r="L191" s="1" t="s">
        <v>108</v>
      </c>
      <c r="M191" s="20">
        <v>-1594400</v>
      </c>
      <c r="N191" s="20"/>
      <c r="O191" s="1" t="s">
        <v>407</v>
      </c>
    </row>
    <row r="192" spans="1:15">
      <c r="A192" s="6">
        <v>40</v>
      </c>
      <c r="B192" s="1" t="s">
        <v>218</v>
      </c>
      <c r="C192" s="6">
        <v>405</v>
      </c>
      <c r="D192" s="1" t="s">
        <v>232</v>
      </c>
      <c r="E192" s="12" t="s">
        <v>46</v>
      </c>
      <c r="G192" s="6">
        <v>408</v>
      </c>
      <c r="H192" s="1" t="s">
        <v>234</v>
      </c>
      <c r="I192" s="6">
        <v>201</v>
      </c>
      <c r="J192" s="1" t="str">
        <f>VLOOKUP(BUDGET!K192,IE!$A$2:$C$132,3,FALSE)</f>
        <v>Salaries &amp; Wages</v>
      </c>
      <c r="K192" s="24">
        <v>210</v>
      </c>
      <c r="L192" s="1" t="s">
        <v>117</v>
      </c>
      <c r="M192" s="22">
        <v>336712</v>
      </c>
      <c r="N192" s="22"/>
      <c r="O192" s="1" t="s">
        <v>440</v>
      </c>
    </row>
    <row r="193" spans="1:15">
      <c r="A193" s="6">
        <v>40</v>
      </c>
      <c r="B193" s="1" t="s">
        <v>218</v>
      </c>
      <c r="C193" s="6">
        <v>405</v>
      </c>
      <c r="D193" s="1" t="s">
        <v>232</v>
      </c>
      <c r="E193" s="12" t="s">
        <v>46</v>
      </c>
      <c r="G193" s="6">
        <v>408</v>
      </c>
      <c r="H193" s="1" t="s">
        <v>234</v>
      </c>
      <c r="I193" s="6">
        <v>202</v>
      </c>
      <c r="J193" s="1" t="str">
        <f>VLOOKUP(BUDGET!K193,IE!$A$2:$C$132,3,FALSE)</f>
        <v>Salaries &amp; Wages</v>
      </c>
      <c r="K193" s="24">
        <v>220</v>
      </c>
      <c r="L193" s="1" t="s">
        <v>235</v>
      </c>
      <c r="M193" s="22">
        <v>306578</v>
      </c>
      <c r="N193" s="22"/>
      <c r="O193" s="1" t="s">
        <v>408</v>
      </c>
    </row>
    <row r="194" spans="1:15">
      <c r="A194" s="6">
        <v>40</v>
      </c>
      <c r="B194" s="1" t="s">
        <v>218</v>
      </c>
      <c r="C194" s="6">
        <v>405</v>
      </c>
      <c r="D194" s="1" t="s">
        <v>232</v>
      </c>
      <c r="E194" s="12" t="s">
        <v>46</v>
      </c>
      <c r="G194" s="6">
        <v>408</v>
      </c>
      <c r="H194" s="1" t="s">
        <v>234</v>
      </c>
      <c r="I194" s="6">
        <v>204</v>
      </c>
      <c r="J194" s="1" t="str">
        <f>VLOOKUP(BUDGET!K194,IE!$A$2:$C$132,3,FALSE)</f>
        <v>Salaries &amp; Wages</v>
      </c>
      <c r="K194" s="24">
        <v>240</v>
      </c>
      <c r="L194" s="1" t="s">
        <v>118</v>
      </c>
      <c r="M194" s="22">
        <f>(M192*12%)+(M193*9.5%)</f>
        <v>69530.349999999991</v>
      </c>
      <c r="N194" s="22"/>
    </row>
    <row r="195" spans="1:15">
      <c r="A195" s="6">
        <v>40</v>
      </c>
      <c r="B195" s="1" t="s">
        <v>218</v>
      </c>
      <c r="C195" s="6">
        <v>405</v>
      </c>
      <c r="D195" s="1" t="s">
        <v>232</v>
      </c>
      <c r="E195" s="12" t="s">
        <v>46</v>
      </c>
      <c r="G195" s="6">
        <v>408</v>
      </c>
      <c r="H195" s="1" t="s">
        <v>234</v>
      </c>
      <c r="I195" s="6">
        <v>205</v>
      </c>
      <c r="J195" s="1" t="str">
        <f>VLOOKUP(BUDGET!K195,IE!$A$2:$C$132,3,FALSE)</f>
        <v>Salaries &amp; Wages</v>
      </c>
      <c r="K195" s="24">
        <v>250</v>
      </c>
      <c r="L195" s="1" t="s">
        <v>186</v>
      </c>
      <c r="M195" s="22">
        <v>7000</v>
      </c>
      <c r="N195" s="22"/>
      <c r="O195" s="1" t="s">
        <v>441</v>
      </c>
    </row>
    <row r="196" spans="1:15">
      <c r="A196" s="6">
        <v>40</v>
      </c>
      <c r="B196" s="1" t="s">
        <v>218</v>
      </c>
      <c r="C196" s="6">
        <v>405</v>
      </c>
      <c r="D196" s="1" t="s">
        <v>232</v>
      </c>
      <c r="E196" s="12" t="s">
        <v>46</v>
      </c>
      <c r="G196" s="6">
        <v>408</v>
      </c>
      <c r="H196" s="1" t="s">
        <v>234</v>
      </c>
      <c r="I196" s="6">
        <v>205</v>
      </c>
      <c r="J196" s="1" t="str">
        <f>VLOOKUP(BUDGET!K196,IE!$A$2:$C$132,3,FALSE)</f>
        <v>Salaries &amp; Wages</v>
      </c>
      <c r="K196" s="24">
        <v>251</v>
      </c>
      <c r="L196" s="1" t="s">
        <v>204</v>
      </c>
      <c r="M196" s="22">
        <v>5000</v>
      </c>
      <c r="N196" s="22"/>
    </row>
    <row r="197" spans="1:15">
      <c r="A197" s="6">
        <v>40</v>
      </c>
      <c r="B197" s="1" t="s">
        <v>218</v>
      </c>
      <c r="C197" s="6">
        <v>405</v>
      </c>
      <c r="D197" s="1" t="s">
        <v>232</v>
      </c>
      <c r="E197" s="12" t="s">
        <v>46</v>
      </c>
      <c r="G197" s="6">
        <v>408</v>
      </c>
      <c r="H197" s="1" t="s">
        <v>234</v>
      </c>
      <c r="I197" s="6">
        <v>205</v>
      </c>
      <c r="J197" s="1" t="str">
        <f>VLOOKUP(BUDGET!K197,IE!$A$2:$C$132,3,FALSE)</f>
        <v>Salaries &amp; Wages</v>
      </c>
      <c r="K197" s="24">
        <v>252</v>
      </c>
      <c r="L197" s="1" t="s">
        <v>180</v>
      </c>
      <c r="M197" s="22">
        <v>25000</v>
      </c>
      <c r="N197" s="22"/>
      <c r="O197" s="1" t="s">
        <v>442</v>
      </c>
    </row>
    <row r="198" spans="1:15">
      <c r="A198" s="6">
        <v>40</v>
      </c>
      <c r="B198" s="1" t="s">
        <v>218</v>
      </c>
      <c r="C198" s="6">
        <v>405</v>
      </c>
      <c r="D198" s="1" t="s">
        <v>232</v>
      </c>
      <c r="E198" s="12" t="s">
        <v>46</v>
      </c>
      <c r="G198" s="6">
        <v>408</v>
      </c>
      <c r="H198" s="1" t="s">
        <v>234</v>
      </c>
      <c r="I198" s="6">
        <v>205</v>
      </c>
      <c r="J198" s="1" t="str">
        <f>VLOOKUP(BUDGET!K198,IE!$A$2:$C$132,3,FALSE)</f>
        <v>Salaries &amp; Wages</v>
      </c>
      <c r="K198" s="24">
        <v>253</v>
      </c>
      <c r="L198" s="1" t="s">
        <v>136</v>
      </c>
      <c r="M198" s="22">
        <v>10000</v>
      </c>
      <c r="N198" s="22"/>
    </row>
    <row r="199" spans="1:15">
      <c r="A199" s="6">
        <v>40</v>
      </c>
      <c r="B199" s="1" t="s">
        <v>218</v>
      </c>
      <c r="C199" s="6">
        <v>405</v>
      </c>
      <c r="D199" s="1" t="s">
        <v>232</v>
      </c>
      <c r="E199" s="12" t="s">
        <v>46</v>
      </c>
      <c r="G199" s="6">
        <v>408</v>
      </c>
      <c r="H199" s="1" t="s">
        <v>234</v>
      </c>
      <c r="I199" s="6">
        <v>205</v>
      </c>
      <c r="J199" s="1" t="str">
        <f>VLOOKUP(BUDGET!K199,IE!$A$2:$C$132,3,FALSE)</f>
        <v>Salaries &amp; Wages</v>
      </c>
      <c r="K199" s="24">
        <v>254</v>
      </c>
      <c r="L199" s="1" t="s">
        <v>137</v>
      </c>
      <c r="M199" s="22">
        <v>2500</v>
      </c>
      <c r="N199" s="22"/>
    </row>
    <row r="200" spans="1:15">
      <c r="A200" s="6">
        <v>40</v>
      </c>
      <c r="B200" s="1" t="s">
        <v>218</v>
      </c>
      <c r="C200" s="6">
        <v>405</v>
      </c>
      <c r="D200" s="1" t="s">
        <v>232</v>
      </c>
      <c r="E200" s="12" t="s">
        <v>46</v>
      </c>
      <c r="G200" s="6">
        <v>408</v>
      </c>
      <c r="H200" s="1" t="s">
        <v>234</v>
      </c>
      <c r="I200" s="6">
        <v>205</v>
      </c>
      <c r="J200" s="1" t="str">
        <f>VLOOKUP(BUDGET!K200,IE!$A$2:$C$132,3,FALSE)</f>
        <v>Salaries &amp; Wages</v>
      </c>
      <c r="K200" s="24">
        <v>256</v>
      </c>
      <c r="L200" s="1" t="s">
        <v>119</v>
      </c>
      <c r="M200" s="22">
        <f>(M192+M193+M194) * 1.5%</f>
        <v>10692.305249999999</v>
      </c>
      <c r="N200" s="22"/>
    </row>
    <row r="201" spans="1:15">
      <c r="A201" s="6">
        <v>40</v>
      </c>
      <c r="B201" s="1" t="s">
        <v>218</v>
      </c>
      <c r="C201" s="6">
        <v>405</v>
      </c>
      <c r="D201" s="1" t="s">
        <v>232</v>
      </c>
      <c r="E201" s="12" t="s">
        <v>46</v>
      </c>
      <c r="G201" s="6">
        <v>408</v>
      </c>
      <c r="H201" s="1" t="s">
        <v>234</v>
      </c>
      <c r="I201" s="6">
        <v>250</v>
      </c>
      <c r="J201" s="1" t="str">
        <f>VLOOKUP(BUDGET!K201,IE!$A$2:$C$132,3,FALSE)</f>
        <v>Materials &amp; Services</v>
      </c>
      <c r="K201" s="24">
        <v>317</v>
      </c>
      <c r="L201" s="1" t="s">
        <v>120</v>
      </c>
      <c r="M201" s="22">
        <v>7500</v>
      </c>
      <c r="N201" s="22"/>
    </row>
    <row r="202" spans="1:15">
      <c r="A202" s="6">
        <v>40</v>
      </c>
      <c r="B202" s="1" t="s">
        <v>218</v>
      </c>
      <c r="C202" s="6">
        <v>405</v>
      </c>
      <c r="D202" s="1" t="s">
        <v>232</v>
      </c>
      <c r="E202" s="12" t="s">
        <v>46</v>
      </c>
      <c r="G202" s="6">
        <v>408</v>
      </c>
      <c r="H202" s="1" t="s">
        <v>234</v>
      </c>
      <c r="I202" s="6">
        <v>254</v>
      </c>
      <c r="J202" s="1" t="str">
        <f>VLOOKUP(BUDGET!K202,IE!$A$2:$C$132,3,FALSE)</f>
        <v>Materials &amp; Services</v>
      </c>
      <c r="K202" s="24">
        <v>320</v>
      </c>
      <c r="L202" s="1" t="s">
        <v>190</v>
      </c>
      <c r="M202" s="22">
        <v>10000</v>
      </c>
      <c r="N202" s="22"/>
    </row>
    <row r="203" spans="1:15">
      <c r="A203" s="6">
        <v>40</v>
      </c>
      <c r="B203" s="1" t="s">
        <v>218</v>
      </c>
      <c r="C203" s="6">
        <v>405</v>
      </c>
      <c r="D203" s="1" t="s">
        <v>232</v>
      </c>
      <c r="E203" s="12" t="s">
        <v>46</v>
      </c>
      <c r="G203" s="6">
        <v>408</v>
      </c>
      <c r="H203" s="1" t="s">
        <v>234</v>
      </c>
      <c r="I203" s="6">
        <v>254</v>
      </c>
      <c r="J203" s="1" t="str">
        <f>VLOOKUP(BUDGET!K203,IE!$A$2:$C$132,3,FALSE)</f>
        <v>Materials &amp; Services</v>
      </c>
      <c r="K203" s="24">
        <v>323</v>
      </c>
      <c r="L203" s="1" t="s">
        <v>183</v>
      </c>
      <c r="M203" s="22">
        <v>20000</v>
      </c>
      <c r="N203" s="22"/>
    </row>
    <row r="204" spans="1:15">
      <c r="A204" s="6">
        <v>40</v>
      </c>
      <c r="B204" s="1" t="s">
        <v>218</v>
      </c>
      <c r="C204" s="6">
        <v>405</v>
      </c>
      <c r="D204" s="1" t="s">
        <v>232</v>
      </c>
      <c r="E204" s="12">
        <v>40530</v>
      </c>
      <c r="G204" s="6">
        <v>408</v>
      </c>
      <c r="H204" s="1" t="s">
        <v>234</v>
      </c>
      <c r="I204" s="6"/>
      <c r="J204" s="1" t="str">
        <f>VLOOKUP(BUDGET!K204,IE!$A$2:$C$132,3,FALSE)</f>
        <v>Materials &amp; Services</v>
      </c>
      <c r="K204" s="24">
        <v>333</v>
      </c>
      <c r="L204" s="1" t="s">
        <v>169</v>
      </c>
      <c r="M204" s="22">
        <v>18000</v>
      </c>
      <c r="N204" s="22"/>
    </row>
    <row r="205" spans="1:15">
      <c r="A205" s="6">
        <v>40</v>
      </c>
      <c r="B205" s="1" t="s">
        <v>218</v>
      </c>
      <c r="C205" s="6">
        <v>405</v>
      </c>
      <c r="D205" s="1" t="s">
        <v>232</v>
      </c>
      <c r="E205" s="12" t="s">
        <v>46</v>
      </c>
      <c r="G205" s="6">
        <v>408</v>
      </c>
      <c r="H205" s="1" t="s">
        <v>234</v>
      </c>
      <c r="I205" s="6">
        <v>250</v>
      </c>
      <c r="J205" s="1" t="str">
        <f>VLOOKUP(BUDGET!K205,IE!$A$2:$C$132,3,FALSE)</f>
        <v>Materials &amp; Services</v>
      </c>
      <c r="K205" s="24">
        <v>335</v>
      </c>
      <c r="L205" s="1" t="s">
        <v>110</v>
      </c>
      <c r="M205" s="22">
        <v>2500</v>
      </c>
      <c r="N205" s="22"/>
    </row>
    <row r="206" spans="1:15">
      <c r="A206" s="6">
        <v>40</v>
      </c>
      <c r="B206" s="1" t="s">
        <v>218</v>
      </c>
      <c r="C206" s="6">
        <v>405</v>
      </c>
      <c r="D206" s="1" t="s">
        <v>232</v>
      </c>
      <c r="E206" s="12" t="s">
        <v>46</v>
      </c>
      <c r="G206" s="6">
        <v>408</v>
      </c>
      <c r="H206" s="1" t="s">
        <v>234</v>
      </c>
      <c r="I206" s="6">
        <v>264</v>
      </c>
      <c r="J206" s="1" t="str">
        <f>VLOOKUP(BUDGET!K206,IE!$A$2:$C$132,3,FALSE)</f>
        <v>Materials &amp; Services</v>
      </c>
      <c r="K206" s="24">
        <v>347</v>
      </c>
      <c r="L206" s="1" t="s">
        <v>194</v>
      </c>
      <c r="M206" s="22">
        <v>189112</v>
      </c>
      <c r="N206" s="22"/>
      <c r="O206" s="1" t="s">
        <v>465</v>
      </c>
    </row>
    <row r="207" spans="1:15">
      <c r="A207" s="6">
        <v>40</v>
      </c>
      <c r="B207" s="1" t="s">
        <v>218</v>
      </c>
      <c r="C207" s="6">
        <v>405</v>
      </c>
      <c r="D207" s="1" t="s">
        <v>232</v>
      </c>
      <c r="E207" s="12" t="s">
        <v>46</v>
      </c>
      <c r="G207" s="6">
        <v>408</v>
      </c>
      <c r="H207" s="1" t="s">
        <v>234</v>
      </c>
      <c r="I207" s="6">
        <v>250</v>
      </c>
      <c r="J207" s="1" t="str">
        <f>VLOOKUP(BUDGET!K207,IE!$A$2:$C$132,3,FALSE)</f>
        <v>Materials &amp; Services</v>
      </c>
      <c r="K207" s="24">
        <v>350</v>
      </c>
      <c r="L207" s="1" t="s">
        <v>121</v>
      </c>
      <c r="M207" s="22">
        <v>7500</v>
      </c>
      <c r="N207" s="22"/>
    </row>
    <row r="208" spans="1:15">
      <c r="A208" s="6">
        <v>40</v>
      </c>
      <c r="B208" s="1" t="s">
        <v>218</v>
      </c>
      <c r="C208" s="6">
        <v>405</v>
      </c>
      <c r="D208" s="1" t="s">
        <v>232</v>
      </c>
      <c r="E208" s="12" t="s">
        <v>46</v>
      </c>
      <c r="G208" s="6">
        <v>408</v>
      </c>
      <c r="H208" s="1" t="s">
        <v>234</v>
      </c>
      <c r="I208" s="6">
        <v>250</v>
      </c>
      <c r="J208" s="1" t="str">
        <f>VLOOKUP(BUDGET!K208,IE!$A$2:$C$132,3,FALSE)</f>
        <v>Materials &amp; Services</v>
      </c>
      <c r="K208" s="24">
        <v>351</v>
      </c>
      <c r="L208" s="1" t="s">
        <v>223</v>
      </c>
      <c r="M208" s="22">
        <v>10000</v>
      </c>
      <c r="N208" s="22"/>
    </row>
    <row r="209" spans="1:15">
      <c r="A209" s="6">
        <v>40</v>
      </c>
      <c r="B209" s="1" t="s">
        <v>218</v>
      </c>
      <c r="C209" s="6">
        <v>405</v>
      </c>
      <c r="D209" s="1" t="s">
        <v>232</v>
      </c>
      <c r="E209" s="12" t="s">
        <v>46</v>
      </c>
      <c r="G209" s="6">
        <v>408</v>
      </c>
      <c r="H209" s="1" t="s">
        <v>234</v>
      </c>
      <c r="I209" s="6">
        <v>278</v>
      </c>
      <c r="J209" s="1" t="str">
        <f>VLOOKUP(BUDGET!K209,IE!$A$2:$C$132,3,FALSE)</f>
        <v>Materials &amp; Services</v>
      </c>
      <c r="K209" s="24">
        <v>353</v>
      </c>
      <c r="L209" s="1" t="s">
        <v>112</v>
      </c>
      <c r="M209" s="22">
        <v>30000</v>
      </c>
      <c r="N209" s="22"/>
      <c r="O209" s="1" t="s">
        <v>445</v>
      </c>
    </row>
    <row r="210" spans="1:15">
      <c r="A210" s="6">
        <v>40</v>
      </c>
      <c r="B210" s="1" t="s">
        <v>218</v>
      </c>
      <c r="C210" s="6">
        <v>405</v>
      </c>
      <c r="D210" s="1" t="s">
        <v>232</v>
      </c>
      <c r="E210" s="12" t="s">
        <v>46</v>
      </c>
      <c r="G210" s="6">
        <v>408</v>
      </c>
      <c r="H210" s="1" t="s">
        <v>234</v>
      </c>
      <c r="I210" s="6">
        <v>250</v>
      </c>
      <c r="J210" s="1" t="str">
        <f>VLOOKUP(BUDGET!K210,IE!$A$2:$C$132,3,FALSE)</f>
        <v>Materials &amp; Services</v>
      </c>
      <c r="K210" s="24">
        <v>364</v>
      </c>
      <c r="L210" s="1" t="s">
        <v>141</v>
      </c>
      <c r="M210" s="22">
        <v>15000</v>
      </c>
      <c r="N210" s="22"/>
      <c r="O210" s="1" t="s">
        <v>443</v>
      </c>
    </row>
    <row r="211" spans="1:15">
      <c r="A211" s="6">
        <v>40</v>
      </c>
      <c r="B211" s="1" t="s">
        <v>218</v>
      </c>
      <c r="C211" s="6">
        <v>405</v>
      </c>
      <c r="D211" s="1" t="s">
        <v>232</v>
      </c>
      <c r="E211" s="12" t="s">
        <v>46</v>
      </c>
      <c r="G211" s="6">
        <v>408</v>
      </c>
      <c r="H211" s="1" t="s">
        <v>234</v>
      </c>
      <c r="I211" s="6">
        <v>250</v>
      </c>
      <c r="J211" s="1" t="str">
        <f>VLOOKUP(BUDGET!K211,IE!$A$2:$C$132,3,FALSE)</f>
        <v>Materials &amp; Services</v>
      </c>
      <c r="K211" s="24">
        <v>366</v>
      </c>
      <c r="L211" s="1" t="s">
        <v>142</v>
      </c>
      <c r="M211" s="22">
        <v>2000</v>
      </c>
      <c r="N211" s="22"/>
    </row>
    <row r="212" spans="1:15">
      <c r="A212" s="6">
        <v>40</v>
      </c>
      <c r="B212" s="1" t="s">
        <v>218</v>
      </c>
      <c r="C212" s="6">
        <v>405</v>
      </c>
      <c r="D212" s="1" t="s">
        <v>232</v>
      </c>
      <c r="E212" s="12" t="s">
        <v>46</v>
      </c>
      <c r="G212" s="6">
        <v>408</v>
      </c>
      <c r="H212" s="1" t="s">
        <v>234</v>
      </c>
      <c r="I212" s="6">
        <v>250</v>
      </c>
      <c r="J212" s="1" t="str">
        <f>VLOOKUP(BUDGET!K212,IE!$A$2:$C$132,3,FALSE)</f>
        <v>Materials &amp; Services</v>
      </c>
      <c r="K212" s="24">
        <v>367</v>
      </c>
      <c r="L212" s="1" t="s">
        <v>174</v>
      </c>
      <c r="M212" s="22">
        <v>40000</v>
      </c>
      <c r="N212" s="22"/>
    </row>
    <row r="213" spans="1:15">
      <c r="A213" s="6">
        <v>40</v>
      </c>
      <c r="B213" s="1" t="s">
        <v>218</v>
      </c>
      <c r="C213" s="6">
        <v>405</v>
      </c>
      <c r="D213" s="1" t="s">
        <v>232</v>
      </c>
      <c r="E213" s="12" t="s">
        <v>46</v>
      </c>
      <c r="G213" s="6">
        <v>408</v>
      </c>
      <c r="H213" s="1" t="s">
        <v>234</v>
      </c>
      <c r="I213" s="6">
        <v>250</v>
      </c>
      <c r="J213" s="1" t="str">
        <f>VLOOKUP(BUDGET!K213,IE!$A$2:$C$132,3,FALSE)</f>
        <v>Materials &amp; Services</v>
      </c>
      <c r="K213" s="24">
        <v>369</v>
      </c>
      <c r="L213" s="1" t="s">
        <v>123</v>
      </c>
      <c r="M213" s="22">
        <v>10000</v>
      </c>
      <c r="N213" s="22"/>
    </row>
    <row r="214" spans="1:15">
      <c r="A214" s="6">
        <v>40</v>
      </c>
      <c r="B214" s="1" t="s">
        <v>218</v>
      </c>
      <c r="C214" s="6">
        <v>405</v>
      </c>
      <c r="D214" s="1" t="s">
        <v>232</v>
      </c>
      <c r="E214" s="12" t="s">
        <v>46</v>
      </c>
      <c r="G214" s="6">
        <v>408</v>
      </c>
      <c r="H214" s="1" t="s">
        <v>234</v>
      </c>
      <c r="I214" s="6">
        <v>275</v>
      </c>
      <c r="J214" s="1" t="str">
        <f>VLOOKUP(BUDGET!K214,IE!$A$2:$C$132,3,FALSE)</f>
        <v>Materials &amp; Services</v>
      </c>
      <c r="K214" s="24">
        <v>373</v>
      </c>
      <c r="L214" s="1" t="s">
        <v>124</v>
      </c>
      <c r="M214" s="22">
        <v>10000</v>
      </c>
      <c r="N214" s="22"/>
    </row>
    <row r="215" spans="1:15">
      <c r="A215" s="6">
        <v>40</v>
      </c>
      <c r="B215" s="1" t="s">
        <v>218</v>
      </c>
      <c r="C215" s="6">
        <v>405</v>
      </c>
      <c r="D215" s="1" t="s">
        <v>232</v>
      </c>
      <c r="E215" s="12">
        <v>40530</v>
      </c>
      <c r="G215" s="6">
        <v>408</v>
      </c>
      <c r="H215" s="1" t="s">
        <v>234</v>
      </c>
      <c r="I215" s="6"/>
      <c r="J215" s="1" t="str">
        <f>VLOOKUP(BUDGET!K215,IE!$A$2:$C$132,3,FALSE)</f>
        <v>Motor Vehicle Expenses</v>
      </c>
      <c r="K215" s="24">
        <v>392</v>
      </c>
      <c r="L215" s="1" t="s">
        <v>181</v>
      </c>
      <c r="M215" s="22">
        <v>3000</v>
      </c>
      <c r="N215" s="22"/>
    </row>
    <row r="216" spans="1:15">
      <c r="A216" s="6">
        <v>40</v>
      </c>
      <c r="B216" s="1" t="s">
        <v>218</v>
      </c>
      <c r="C216" s="6">
        <v>405</v>
      </c>
      <c r="D216" s="1" t="s">
        <v>232</v>
      </c>
      <c r="E216" s="12" t="s">
        <v>46</v>
      </c>
      <c r="G216" s="6">
        <v>408</v>
      </c>
      <c r="H216" s="1" t="s">
        <v>234</v>
      </c>
      <c r="I216" s="6">
        <v>268</v>
      </c>
      <c r="J216" s="1" t="str">
        <f>VLOOKUP(BUDGET!K216,IE!$A$2:$C$132,3,FALSE)</f>
        <v>Motor Vehicle Expenses</v>
      </c>
      <c r="K216" s="24">
        <v>394</v>
      </c>
      <c r="L216" s="1" t="s">
        <v>158</v>
      </c>
      <c r="M216" s="22">
        <v>900</v>
      </c>
      <c r="N216" s="22"/>
    </row>
    <row r="217" spans="1:15">
      <c r="A217" s="6">
        <v>40</v>
      </c>
      <c r="B217" s="1" t="s">
        <v>218</v>
      </c>
      <c r="C217" s="6">
        <v>405</v>
      </c>
      <c r="D217" s="1" t="s">
        <v>232</v>
      </c>
      <c r="E217" s="12" t="s">
        <v>46</v>
      </c>
      <c r="G217" s="6">
        <v>408</v>
      </c>
      <c r="H217" s="1" t="s">
        <v>234</v>
      </c>
      <c r="I217" s="6">
        <v>900</v>
      </c>
      <c r="J217" s="1" t="str">
        <f>VLOOKUP(BUDGET!K217,IE!$A$2:$C$132,3,FALSE)</f>
        <v>Internal Transfer</v>
      </c>
      <c r="K217" s="24">
        <v>903</v>
      </c>
      <c r="L217" s="1" t="s">
        <v>147</v>
      </c>
      <c r="M217" s="22">
        <v>8000</v>
      </c>
      <c r="N217" s="22"/>
    </row>
    <row r="218" spans="1:15">
      <c r="A218" s="6">
        <v>40</v>
      </c>
      <c r="B218" s="1" t="s">
        <v>218</v>
      </c>
      <c r="C218" s="6">
        <v>405</v>
      </c>
      <c r="D218" s="1" t="s">
        <v>232</v>
      </c>
      <c r="E218" s="12" t="s">
        <v>46</v>
      </c>
      <c r="G218" s="6">
        <v>408</v>
      </c>
      <c r="H218" s="1" t="s">
        <v>234</v>
      </c>
      <c r="I218" s="6">
        <v>900</v>
      </c>
      <c r="J218" s="1" t="str">
        <f>VLOOKUP(BUDGET!K218,IE!$A$2:$C$132,3,FALSE)</f>
        <v>Internal Transfer</v>
      </c>
      <c r="K218" s="24">
        <v>904</v>
      </c>
      <c r="L218" s="1" t="s">
        <v>161</v>
      </c>
      <c r="M218" s="22">
        <v>10000</v>
      </c>
      <c r="N218" s="22"/>
    </row>
    <row r="219" spans="1:15">
      <c r="A219" s="6">
        <v>40</v>
      </c>
      <c r="B219" s="1" t="s">
        <v>218</v>
      </c>
      <c r="C219" s="6">
        <v>405</v>
      </c>
      <c r="D219" s="1" t="s">
        <v>232</v>
      </c>
      <c r="E219" s="12" t="s">
        <v>46</v>
      </c>
      <c r="G219" s="6">
        <v>408</v>
      </c>
      <c r="H219" s="1" t="s">
        <v>234</v>
      </c>
      <c r="I219" s="6"/>
      <c r="J219" s="1" t="str">
        <f>VLOOKUP(BUDGET!K219,IE!$A$2:$C$132,3,FALSE)</f>
        <v>Internal Transfer</v>
      </c>
      <c r="K219" s="24">
        <v>910</v>
      </c>
      <c r="L219" s="1" t="s">
        <v>125</v>
      </c>
      <c r="M219" s="22">
        <f>-M191-SUM(M192:M218)</f>
        <v>427875.34475000016</v>
      </c>
      <c r="N219" s="22"/>
    </row>
    <row r="220" spans="1:15">
      <c r="A220" s="6">
        <v>40</v>
      </c>
      <c r="B220" s="1" t="s">
        <v>218</v>
      </c>
      <c r="C220" s="6">
        <v>407</v>
      </c>
      <c r="D220" s="1" t="s">
        <v>236</v>
      </c>
      <c r="E220" s="12" t="s">
        <v>47</v>
      </c>
      <c r="F220" s="1" t="s">
        <v>237</v>
      </c>
      <c r="G220" s="1" t="s">
        <v>12</v>
      </c>
      <c r="I220" s="6">
        <v>124</v>
      </c>
      <c r="J220" s="1" t="str">
        <f>VLOOKUP(BUDGET!K220,IE!$A$2:$C$132,3,FALSE)</f>
        <v>Grants, Subsidies, Contributions &amp; Donations</v>
      </c>
      <c r="K220" s="24">
        <v>181</v>
      </c>
      <c r="L220" s="1" t="s">
        <v>108</v>
      </c>
      <c r="M220" s="20">
        <v>-80000</v>
      </c>
      <c r="N220" s="20"/>
    </row>
    <row r="221" spans="1:15">
      <c r="A221" s="6">
        <v>40</v>
      </c>
      <c r="B221" s="1" t="s">
        <v>218</v>
      </c>
      <c r="C221" s="6">
        <v>407</v>
      </c>
      <c r="D221" s="1" t="s">
        <v>236</v>
      </c>
      <c r="E221" s="12" t="s">
        <v>48</v>
      </c>
      <c r="G221" s="6">
        <v>407</v>
      </c>
      <c r="H221" s="1" t="s">
        <v>236</v>
      </c>
      <c r="I221" s="6">
        <v>201</v>
      </c>
      <c r="J221" s="1" t="str">
        <f>VLOOKUP(BUDGET!K221,IE!$A$2:$C$132,3,FALSE)</f>
        <v>Salaries &amp; Wages</v>
      </c>
      <c r="K221" s="24">
        <v>210</v>
      </c>
      <c r="L221" s="1" t="s">
        <v>117</v>
      </c>
      <c r="M221" s="22">
        <v>72304</v>
      </c>
      <c r="N221" s="22"/>
      <c r="O221" s="1" t="s">
        <v>426</v>
      </c>
    </row>
    <row r="222" spans="1:15">
      <c r="A222" s="6">
        <v>40</v>
      </c>
      <c r="B222" s="1" t="s">
        <v>218</v>
      </c>
      <c r="C222" s="6">
        <v>407</v>
      </c>
      <c r="D222" s="1" t="s">
        <v>236</v>
      </c>
      <c r="E222" s="12" t="s">
        <v>48</v>
      </c>
      <c r="G222" s="6">
        <v>407</v>
      </c>
      <c r="H222" s="1" t="s">
        <v>236</v>
      </c>
      <c r="I222" s="6">
        <v>204</v>
      </c>
      <c r="J222" s="1" t="str">
        <f>VLOOKUP(BUDGET!K222,IE!$A$2:$C$132,3,FALSE)</f>
        <v>Salaries &amp; Wages</v>
      </c>
      <c r="K222" s="24">
        <v>240</v>
      </c>
      <c r="L222" s="1" t="s">
        <v>118</v>
      </c>
      <c r="M222" s="22">
        <f>M221*12%</f>
        <v>8676.48</v>
      </c>
      <c r="N222" s="22"/>
    </row>
    <row r="223" spans="1:15">
      <c r="A223" s="6">
        <v>40</v>
      </c>
      <c r="B223" s="1" t="s">
        <v>218</v>
      </c>
      <c r="C223" s="6">
        <v>409</v>
      </c>
      <c r="D223" s="1" t="s">
        <v>238</v>
      </c>
      <c r="E223" s="12" t="s">
        <v>49</v>
      </c>
      <c r="F223" s="1" t="s">
        <v>239</v>
      </c>
      <c r="G223" s="1" t="s">
        <v>12</v>
      </c>
      <c r="I223" s="6">
        <v>110</v>
      </c>
      <c r="J223" s="1" t="str">
        <f>VLOOKUP(BUDGET!K223,IE!$A$2:$C$132,3,FALSE)</f>
        <v>Fees &amp; Charges</v>
      </c>
      <c r="K223" s="24">
        <v>111</v>
      </c>
      <c r="L223" s="1" t="s">
        <v>241</v>
      </c>
      <c r="M223" s="20">
        <v>-5000</v>
      </c>
      <c r="N223" s="20"/>
    </row>
    <row r="224" spans="1:15">
      <c r="A224" s="6">
        <v>40</v>
      </c>
      <c r="B224" s="1" t="s">
        <v>218</v>
      </c>
      <c r="C224" s="6">
        <v>409</v>
      </c>
      <c r="D224" s="1" t="s">
        <v>238</v>
      </c>
      <c r="E224" s="12" t="s">
        <v>49</v>
      </c>
      <c r="F224" s="1" t="s">
        <v>239</v>
      </c>
      <c r="G224" s="1" t="s">
        <v>12</v>
      </c>
      <c r="I224" s="6">
        <v>112</v>
      </c>
      <c r="J224" s="1" t="str">
        <f>VLOOKUP(BUDGET!K224,IE!$A$2:$C$132,3,FALSE)</f>
        <v>Fees &amp; Charges</v>
      </c>
      <c r="K224" s="24">
        <v>121</v>
      </c>
      <c r="L224" s="1" t="s">
        <v>243</v>
      </c>
      <c r="M224" s="20">
        <v>-1500</v>
      </c>
      <c r="N224" s="20"/>
    </row>
    <row r="225" spans="1:15">
      <c r="A225" s="6">
        <v>40</v>
      </c>
      <c r="B225" s="1" t="s">
        <v>218</v>
      </c>
      <c r="C225" s="6">
        <v>409</v>
      </c>
      <c r="D225" s="1" t="s">
        <v>238</v>
      </c>
      <c r="E225" s="12" t="s">
        <v>49</v>
      </c>
      <c r="F225" s="1" t="s">
        <v>239</v>
      </c>
      <c r="G225" s="1" t="s">
        <v>12</v>
      </c>
      <c r="I225" s="6">
        <v>113</v>
      </c>
      <c r="J225" s="1" t="str">
        <f>VLOOKUP(BUDGET!K225,IE!$A$2:$C$132,3,FALSE)</f>
        <v>Other Income</v>
      </c>
      <c r="K225" s="24">
        <v>137</v>
      </c>
      <c r="L225" s="1" t="s">
        <v>244</v>
      </c>
      <c r="M225" s="20">
        <v>-12000</v>
      </c>
      <c r="N225" s="20"/>
    </row>
    <row r="226" spans="1:15">
      <c r="A226" s="6">
        <v>40</v>
      </c>
      <c r="B226" s="1" t="s">
        <v>218</v>
      </c>
      <c r="C226" s="6">
        <v>409</v>
      </c>
      <c r="D226" s="1" t="s">
        <v>238</v>
      </c>
      <c r="E226" s="12" t="s">
        <v>49</v>
      </c>
      <c r="F226" s="1" t="s">
        <v>239</v>
      </c>
      <c r="G226" s="1" t="s">
        <v>12</v>
      </c>
      <c r="I226" s="6">
        <v>115</v>
      </c>
      <c r="J226" s="1" t="str">
        <f>VLOOKUP(BUDGET!K226,IE!$A$2:$C$132,3,FALSE)</f>
        <v>Interest Received</v>
      </c>
      <c r="K226" s="24">
        <v>150</v>
      </c>
      <c r="L226" s="1" t="s">
        <v>245</v>
      </c>
      <c r="M226" s="20">
        <v>-230000</v>
      </c>
      <c r="N226" s="20"/>
    </row>
    <row r="227" spans="1:15">
      <c r="A227" s="6">
        <v>40</v>
      </c>
      <c r="B227" s="1" t="s">
        <v>218</v>
      </c>
      <c r="C227" s="6">
        <v>409</v>
      </c>
      <c r="D227" s="1" t="s">
        <v>238</v>
      </c>
      <c r="E227" s="12" t="s">
        <v>49</v>
      </c>
      <c r="F227" s="1" t="s">
        <v>239</v>
      </c>
      <c r="G227" s="1" t="s">
        <v>12</v>
      </c>
      <c r="I227" s="6">
        <v>123</v>
      </c>
      <c r="J227" s="1" t="str">
        <f>VLOOKUP(BUDGET!K227,IE!$A$2:$C$132,3,FALSE)</f>
        <v>Other Income</v>
      </c>
      <c r="K227" s="24">
        <v>145</v>
      </c>
      <c r="L227" s="1" t="s">
        <v>246</v>
      </c>
      <c r="M227" s="17"/>
      <c r="N227" s="17"/>
      <c r="O227" s="7" t="s">
        <v>448</v>
      </c>
    </row>
    <row r="228" spans="1:15">
      <c r="A228" s="6">
        <v>40</v>
      </c>
      <c r="B228" s="1" t="s">
        <v>218</v>
      </c>
      <c r="C228" s="6">
        <v>409</v>
      </c>
      <c r="D228" s="1" t="s">
        <v>238</v>
      </c>
      <c r="E228" s="12" t="s">
        <v>49</v>
      </c>
      <c r="F228" s="1" t="s">
        <v>239</v>
      </c>
      <c r="G228" s="1" t="s">
        <v>12</v>
      </c>
      <c r="I228" s="6">
        <v>123</v>
      </c>
      <c r="J228" s="1" t="str">
        <f>VLOOKUP(BUDGET!K228,IE!$A$2:$C$132,3,FALSE)</f>
        <v>Other Income</v>
      </c>
      <c r="K228" s="24">
        <v>164</v>
      </c>
      <c r="L228" s="1" t="s">
        <v>247</v>
      </c>
      <c r="M228" s="20">
        <v>-5000</v>
      </c>
      <c r="N228" s="20"/>
    </row>
    <row r="229" spans="1:15">
      <c r="A229" s="6">
        <v>40</v>
      </c>
      <c r="B229" s="1" t="s">
        <v>218</v>
      </c>
      <c r="C229" s="6">
        <v>409</v>
      </c>
      <c r="D229" s="1" t="s">
        <v>238</v>
      </c>
      <c r="E229" s="12" t="s">
        <v>49</v>
      </c>
      <c r="F229" s="1" t="s">
        <v>239</v>
      </c>
      <c r="G229" s="1" t="s">
        <v>12</v>
      </c>
      <c r="I229" s="6">
        <v>123</v>
      </c>
      <c r="J229" s="1" t="str">
        <f>VLOOKUP(BUDGET!K229,IE!$A$2:$C$132,3,FALSE)</f>
        <v>Other Income</v>
      </c>
      <c r="K229" s="24">
        <v>165</v>
      </c>
      <c r="L229" s="1" t="s">
        <v>248</v>
      </c>
      <c r="M229" s="20">
        <v>-1000</v>
      </c>
      <c r="N229" s="20"/>
    </row>
    <row r="230" spans="1:15">
      <c r="A230" s="6">
        <v>40</v>
      </c>
      <c r="B230" s="1" t="s">
        <v>218</v>
      </c>
      <c r="C230" s="6">
        <v>409</v>
      </c>
      <c r="D230" s="1" t="s">
        <v>238</v>
      </c>
      <c r="E230" s="12" t="s">
        <v>49</v>
      </c>
      <c r="F230" s="1" t="s">
        <v>239</v>
      </c>
      <c r="G230" s="1" t="s">
        <v>12</v>
      </c>
      <c r="I230" s="6">
        <v>123</v>
      </c>
      <c r="J230" s="1" t="str">
        <f>VLOOKUP(BUDGET!K230,IE!$A$2:$C$132,3,FALSE)</f>
        <v>Other Income</v>
      </c>
      <c r="K230" s="24">
        <v>169</v>
      </c>
      <c r="L230" s="1" t="s">
        <v>249</v>
      </c>
      <c r="M230" s="20">
        <v>-2000</v>
      </c>
      <c r="N230" s="20"/>
    </row>
    <row r="231" spans="1:15">
      <c r="A231" s="6">
        <v>40</v>
      </c>
      <c r="B231" s="1" t="s">
        <v>218</v>
      </c>
      <c r="C231" s="6">
        <v>409</v>
      </c>
      <c r="D231" s="1" t="s">
        <v>238</v>
      </c>
      <c r="E231" s="12" t="s">
        <v>49</v>
      </c>
      <c r="F231" s="1" t="s">
        <v>239</v>
      </c>
      <c r="G231" s="1" t="s">
        <v>12</v>
      </c>
      <c r="I231" s="6">
        <v>123</v>
      </c>
      <c r="J231" s="1" t="str">
        <f>VLOOKUP(BUDGET!K231,IE!$A$2:$C$132,3,FALSE)</f>
        <v>Grants, Subsidies, Contributions &amp; Donations</v>
      </c>
      <c r="K231" s="24">
        <v>186</v>
      </c>
      <c r="L231" s="1" t="s">
        <v>115</v>
      </c>
      <c r="M231" s="20">
        <v>-30000</v>
      </c>
      <c r="N231" s="20"/>
    </row>
    <row r="232" spans="1:15">
      <c r="A232" s="6">
        <v>40</v>
      </c>
      <c r="B232" s="1" t="s">
        <v>218</v>
      </c>
      <c r="C232" s="6">
        <v>409</v>
      </c>
      <c r="D232" s="1" t="s">
        <v>238</v>
      </c>
      <c r="E232" s="12" t="s">
        <v>50</v>
      </c>
      <c r="G232" s="6">
        <v>409</v>
      </c>
      <c r="H232" s="1" t="s">
        <v>238</v>
      </c>
      <c r="I232" s="6">
        <v>278</v>
      </c>
      <c r="J232" s="1" t="str">
        <f>VLOOKUP(BUDGET!K232,IE!$A$2:$C$132,3,FALSE)</f>
        <v>Finance Costs</v>
      </c>
      <c r="K232" s="24">
        <v>396</v>
      </c>
      <c r="L232" s="1" t="s">
        <v>129</v>
      </c>
      <c r="M232" s="22">
        <v>6000</v>
      </c>
      <c r="N232" s="22"/>
      <c r="O232" s="1" t="s">
        <v>583</v>
      </c>
    </row>
    <row r="233" spans="1:15">
      <c r="A233" s="6">
        <v>40</v>
      </c>
      <c r="B233" s="1" t="s">
        <v>218</v>
      </c>
      <c r="C233" s="6">
        <v>409</v>
      </c>
      <c r="D233" s="1" t="s">
        <v>238</v>
      </c>
      <c r="E233" s="12" t="s">
        <v>50</v>
      </c>
      <c r="G233" s="6">
        <v>409</v>
      </c>
      <c r="H233" s="1" t="s">
        <v>238</v>
      </c>
      <c r="I233" s="6">
        <v>301</v>
      </c>
      <c r="J233" s="1" t="str">
        <f>VLOOKUP(BUDGET!K233,IE!$A$2:$C$132,3,FALSE)</f>
        <v>Finance Costs</v>
      </c>
      <c r="K233" s="24">
        <v>401</v>
      </c>
      <c r="L233" s="1" t="s">
        <v>231</v>
      </c>
      <c r="M233" s="22">
        <v>10500</v>
      </c>
      <c r="N233" s="22"/>
    </row>
    <row r="234" spans="1:15">
      <c r="A234" s="6">
        <v>40</v>
      </c>
      <c r="B234" s="1" t="s">
        <v>218</v>
      </c>
      <c r="C234" s="6">
        <v>409</v>
      </c>
      <c r="D234" s="1" t="s">
        <v>238</v>
      </c>
      <c r="E234" s="12" t="s">
        <v>50</v>
      </c>
      <c r="G234" s="6">
        <v>409</v>
      </c>
      <c r="H234" s="1" t="s">
        <v>238</v>
      </c>
      <c r="I234" s="6">
        <v>900</v>
      </c>
      <c r="J234" s="1" t="str">
        <f>VLOOKUP(BUDGET!K234,IE!$A$2:$C$132,3,FALSE)</f>
        <v>Internal Transfer</v>
      </c>
      <c r="K234" s="24">
        <v>910</v>
      </c>
      <c r="L234" s="1" t="s">
        <v>125</v>
      </c>
      <c r="M234" s="22">
        <f>-M18+-M79+-M102+-M108+-M131+-M190+-M219+-M259+-M333+-M359+-M374+-M433</f>
        <v>-1282811.5107500001</v>
      </c>
      <c r="N234" s="22"/>
    </row>
    <row r="235" spans="1:15">
      <c r="A235" s="6">
        <v>40</v>
      </c>
      <c r="B235" s="1" t="s">
        <v>218</v>
      </c>
      <c r="C235" s="6">
        <v>409</v>
      </c>
      <c r="D235" s="1" t="s">
        <v>238</v>
      </c>
      <c r="E235" s="12" t="s">
        <v>50</v>
      </c>
      <c r="G235" s="6">
        <v>409</v>
      </c>
      <c r="H235" s="1" t="s">
        <v>238</v>
      </c>
      <c r="I235" s="6">
        <v>900</v>
      </c>
      <c r="J235" s="1" t="str">
        <f>VLOOKUP(BUDGET!K235,IE!$A$2:$C$132,3,FALSE)</f>
        <v>Internal Transfer</v>
      </c>
      <c r="K235" s="24">
        <v>914</v>
      </c>
      <c r="L235" s="1" t="s">
        <v>195</v>
      </c>
      <c r="M235" s="22">
        <f>-M103+-M132</f>
        <v>-50000</v>
      </c>
      <c r="N235" s="22"/>
    </row>
    <row r="236" spans="1:15">
      <c r="A236" s="6">
        <v>20</v>
      </c>
      <c r="B236" s="1" t="s">
        <v>257</v>
      </c>
      <c r="C236" s="6">
        <v>420</v>
      </c>
      <c r="D236" s="1" t="s">
        <v>251</v>
      </c>
      <c r="E236" s="12" t="s">
        <v>51</v>
      </c>
      <c r="F236" s="1" t="s">
        <v>252</v>
      </c>
      <c r="G236" s="1" t="s">
        <v>12</v>
      </c>
      <c r="I236" s="6">
        <v>120</v>
      </c>
      <c r="J236" s="1" t="str">
        <f>VLOOKUP(BUDGET!K236,IE!$A$2:$C$132,3,FALSE)</f>
        <v>Sales Revenue</v>
      </c>
      <c r="K236" s="24">
        <v>160</v>
      </c>
      <c r="L236" s="1" t="s">
        <v>253</v>
      </c>
      <c r="M236" s="20">
        <v>-10000</v>
      </c>
      <c r="N236" s="20"/>
    </row>
    <row r="237" spans="1:15">
      <c r="A237" s="6">
        <v>20</v>
      </c>
      <c r="B237" s="1" t="s">
        <v>257</v>
      </c>
      <c r="C237" s="6">
        <v>420</v>
      </c>
      <c r="D237" s="1" t="s">
        <v>251</v>
      </c>
      <c r="E237" s="12" t="s">
        <v>51</v>
      </c>
      <c r="F237" s="1" t="s">
        <v>252</v>
      </c>
      <c r="G237" s="1" t="s">
        <v>12</v>
      </c>
      <c r="I237" s="6">
        <v>122</v>
      </c>
      <c r="J237" s="1" t="str">
        <f>VLOOKUP(BUDGET!K237,IE!$A$2:$C$132,3,FALSE)</f>
        <v>Sales Revenue</v>
      </c>
      <c r="K237" s="24">
        <v>163</v>
      </c>
      <c r="L237" s="1" t="s">
        <v>254</v>
      </c>
      <c r="M237" s="20">
        <v>-40000</v>
      </c>
      <c r="N237" s="20"/>
      <c r="O237" s="7" t="s">
        <v>390</v>
      </c>
    </row>
    <row r="238" spans="1:15">
      <c r="A238" s="6">
        <v>20</v>
      </c>
      <c r="B238" s="1" t="s">
        <v>257</v>
      </c>
      <c r="C238" s="6">
        <v>420</v>
      </c>
      <c r="D238" s="1" t="s">
        <v>251</v>
      </c>
      <c r="E238" s="12" t="s">
        <v>51</v>
      </c>
      <c r="F238" s="1" t="s">
        <v>252</v>
      </c>
      <c r="G238" s="1" t="s">
        <v>12</v>
      </c>
      <c r="I238" s="6">
        <v>278</v>
      </c>
      <c r="J238" s="1" t="str">
        <f>VLOOKUP(BUDGET!K238,IE!$A$2:$C$132,3,FALSE)</f>
        <v>Materials &amp; Services</v>
      </c>
      <c r="K238" s="24">
        <v>353</v>
      </c>
      <c r="L238" s="1" t="s">
        <v>112</v>
      </c>
      <c r="M238" s="20"/>
      <c r="N238" s="20"/>
      <c r="O238" s="1" t="s">
        <v>450</v>
      </c>
    </row>
    <row r="239" spans="1:15">
      <c r="A239" s="6">
        <v>20</v>
      </c>
      <c r="B239" s="1" t="s">
        <v>257</v>
      </c>
      <c r="C239" s="6">
        <v>420</v>
      </c>
      <c r="D239" s="1" t="s">
        <v>251</v>
      </c>
      <c r="E239" s="12" t="s">
        <v>51</v>
      </c>
      <c r="F239" s="1" t="s">
        <v>252</v>
      </c>
      <c r="G239" s="1" t="s">
        <v>12</v>
      </c>
      <c r="I239" s="6">
        <v>278</v>
      </c>
      <c r="J239" s="1" t="str">
        <f>VLOOKUP(BUDGET!K239,IE!$A$2:$C$132,3,FALSE)</f>
        <v>Materials &amp; Services</v>
      </c>
      <c r="K239" s="24">
        <v>356</v>
      </c>
      <c r="L239" s="1" t="s">
        <v>160</v>
      </c>
      <c r="M239" s="20">
        <v>-50000</v>
      </c>
      <c r="N239" s="20"/>
      <c r="O239" s="1" t="s">
        <v>449</v>
      </c>
    </row>
    <row r="240" spans="1:15">
      <c r="A240" s="6">
        <v>20</v>
      </c>
      <c r="B240" s="1" t="s">
        <v>257</v>
      </c>
      <c r="C240" s="6">
        <v>420</v>
      </c>
      <c r="D240" s="1" t="s">
        <v>251</v>
      </c>
      <c r="E240" s="12" t="s">
        <v>52</v>
      </c>
      <c r="G240" s="6">
        <v>420</v>
      </c>
      <c r="H240" s="1" t="s">
        <v>255</v>
      </c>
      <c r="I240" s="6">
        <v>201</v>
      </c>
      <c r="J240" s="1" t="str">
        <f>VLOOKUP(BUDGET!K240,IE!$A$2:$C$132,3,FALSE)</f>
        <v>Salaries &amp; Wages</v>
      </c>
      <c r="K240" s="24">
        <v>210</v>
      </c>
      <c r="L240" s="1" t="s">
        <v>117</v>
      </c>
      <c r="M240" s="21">
        <v>155886</v>
      </c>
      <c r="N240" s="21"/>
      <c r="O240" s="1" t="s">
        <v>451</v>
      </c>
    </row>
    <row r="241" spans="1:15">
      <c r="A241" s="6">
        <v>20</v>
      </c>
      <c r="B241" s="1" t="s">
        <v>257</v>
      </c>
      <c r="C241" s="6">
        <v>420</v>
      </c>
      <c r="D241" s="1" t="s">
        <v>251</v>
      </c>
      <c r="E241" s="12" t="s">
        <v>52</v>
      </c>
      <c r="G241" s="6">
        <v>420</v>
      </c>
      <c r="H241" s="1" t="s">
        <v>255</v>
      </c>
      <c r="I241" s="6">
        <v>204</v>
      </c>
      <c r="J241" s="1" t="str">
        <f>VLOOKUP(BUDGET!K241,IE!$A$2:$C$132,3,FALSE)</f>
        <v>Salaries &amp; Wages</v>
      </c>
      <c r="K241" s="24">
        <v>240</v>
      </c>
      <c r="L241" s="1" t="s">
        <v>118</v>
      </c>
      <c r="M241" s="21">
        <f>M240*12%</f>
        <v>18706.32</v>
      </c>
      <c r="N241" s="21"/>
    </row>
    <row r="242" spans="1:15">
      <c r="A242" s="6">
        <v>20</v>
      </c>
      <c r="B242" s="1" t="s">
        <v>257</v>
      </c>
      <c r="C242" s="6">
        <v>420</v>
      </c>
      <c r="D242" s="1" t="s">
        <v>251</v>
      </c>
      <c r="E242" s="12" t="s">
        <v>52</v>
      </c>
      <c r="G242" s="6">
        <v>420</v>
      </c>
      <c r="H242" s="1" t="s">
        <v>255</v>
      </c>
      <c r="I242" s="6">
        <v>205</v>
      </c>
      <c r="J242" s="1" t="str">
        <f>VLOOKUP(BUDGET!K242,IE!$A$2:$C$132,3,FALSE)</f>
        <v>Salaries &amp; Wages</v>
      </c>
      <c r="K242" s="24">
        <v>250</v>
      </c>
      <c r="L242" s="1" t="s">
        <v>186</v>
      </c>
      <c r="M242" s="21">
        <v>3500</v>
      </c>
      <c r="N242" s="21"/>
    </row>
    <row r="243" spans="1:15">
      <c r="A243" s="6">
        <v>20</v>
      </c>
      <c r="B243" s="1" t="s">
        <v>257</v>
      </c>
      <c r="C243" s="6">
        <v>420</v>
      </c>
      <c r="D243" s="1" t="s">
        <v>251</v>
      </c>
      <c r="E243" s="12" t="s">
        <v>52</v>
      </c>
      <c r="G243" s="6">
        <v>420</v>
      </c>
      <c r="H243" s="1" t="s">
        <v>255</v>
      </c>
      <c r="I243" s="6">
        <v>205</v>
      </c>
      <c r="J243" s="1" t="str">
        <f>VLOOKUP(BUDGET!K243,IE!$A$2:$C$132,3,FALSE)</f>
        <v>Salaries &amp; Wages</v>
      </c>
      <c r="K243" s="24">
        <v>252</v>
      </c>
      <c r="L243" s="1" t="s">
        <v>180</v>
      </c>
      <c r="M243" s="22">
        <v>2000</v>
      </c>
      <c r="N243" s="22"/>
      <c r="O243" s="1" t="s">
        <v>422</v>
      </c>
    </row>
    <row r="244" spans="1:15">
      <c r="A244" s="6">
        <v>20</v>
      </c>
      <c r="B244" s="1" t="s">
        <v>257</v>
      </c>
      <c r="C244" s="6">
        <v>420</v>
      </c>
      <c r="D244" s="1" t="s">
        <v>251</v>
      </c>
      <c r="E244" s="12" t="s">
        <v>52</v>
      </c>
      <c r="G244" s="6">
        <v>420</v>
      </c>
      <c r="H244" s="1" t="s">
        <v>255</v>
      </c>
      <c r="I244" s="6">
        <v>205</v>
      </c>
      <c r="J244" s="1" t="str">
        <f>VLOOKUP(BUDGET!K244,IE!$A$2:$C$132,3,FALSE)</f>
        <v>Salaries &amp; Wages</v>
      </c>
      <c r="K244" s="24">
        <v>255</v>
      </c>
      <c r="L244" s="1" t="s">
        <v>138</v>
      </c>
      <c r="M244" s="22">
        <v>1200</v>
      </c>
      <c r="N244" s="22"/>
    </row>
    <row r="245" spans="1:15">
      <c r="A245" s="6">
        <v>20</v>
      </c>
      <c r="B245" s="1" t="s">
        <v>257</v>
      </c>
      <c r="C245" s="6">
        <v>420</v>
      </c>
      <c r="D245" s="1" t="s">
        <v>251</v>
      </c>
      <c r="E245" s="12" t="s">
        <v>52</v>
      </c>
      <c r="G245" s="6">
        <v>420</v>
      </c>
      <c r="H245" s="1" t="s">
        <v>255</v>
      </c>
      <c r="I245" s="6">
        <v>205</v>
      </c>
      <c r="J245" s="1" t="str">
        <f>VLOOKUP(BUDGET!K245,IE!$A$2:$C$132,3,FALSE)</f>
        <v>Salaries &amp; Wages</v>
      </c>
      <c r="K245" s="24">
        <v>256</v>
      </c>
      <c r="L245" s="1" t="s">
        <v>119</v>
      </c>
      <c r="M245" s="22">
        <f>(M240+M241)*1.5%</f>
        <v>2618.8847999999998</v>
      </c>
      <c r="N245" s="22"/>
    </row>
    <row r="246" spans="1:15">
      <c r="A246" s="6">
        <v>20</v>
      </c>
      <c r="B246" s="1" t="s">
        <v>257</v>
      </c>
      <c r="C246" s="6">
        <v>420</v>
      </c>
      <c r="D246" s="1" t="s">
        <v>251</v>
      </c>
      <c r="E246" s="12" t="s">
        <v>52</v>
      </c>
      <c r="G246" s="6">
        <v>420</v>
      </c>
      <c r="H246" s="1" t="s">
        <v>255</v>
      </c>
      <c r="I246" s="6">
        <v>250</v>
      </c>
      <c r="J246" s="1" t="str">
        <f>VLOOKUP(BUDGET!K246,IE!$A$2:$C$132,3,FALSE)</f>
        <v>Materials &amp; Services</v>
      </c>
      <c r="K246" s="24">
        <v>335</v>
      </c>
      <c r="L246" s="1" t="s">
        <v>110</v>
      </c>
      <c r="M246" s="22">
        <v>12500</v>
      </c>
      <c r="N246" s="22"/>
    </row>
    <row r="247" spans="1:15">
      <c r="A247" s="6">
        <v>20</v>
      </c>
      <c r="B247" s="1" t="s">
        <v>257</v>
      </c>
      <c r="C247" s="6">
        <v>420</v>
      </c>
      <c r="D247" s="1" t="s">
        <v>251</v>
      </c>
      <c r="E247" s="12" t="s">
        <v>52</v>
      </c>
      <c r="G247" s="6">
        <v>420</v>
      </c>
      <c r="H247" s="1" t="s">
        <v>255</v>
      </c>
      <c r="I247" s="6">
        <v>250</v>
      </c>
      <c r="J247" s="1" t="str">
        <f>VLOOKUP(BUDGET!K247,IE!$A$2:$C$132,3,FALSE)</f>
        <v>Materials &amp; Services</v>
      </c>
      <c r="K247" s="24">
        <v>350</v>
      </c>
      <c r="L247" s="1" t="s">
        <v>121</v>
      </c>
      <c r="M247" s="22">
        <v>2000</v>
      </c>
      <c r="N247" s="22"/>
    </row>
    <row r="248" spans="1:15">
      <c r="A248" s="6">
        <v>20</v>
      </c>
      <c r="B248" s="1" t="s">
        <v>257</v>
      </c>
      <c r="C248" s="6">
        <v>420</v>
      </c>
      <c r="D248" s="1" t="s">
        <v>251</v>
      </c>
      <c r="E248" s="12" t="s">
        <v>52</v>
      </c>
      <c r="G248" s="6">
        <v>420</v>
      </c>
      <c r="H248" s="1" t="s">
        <v>255</v>
      </c>
      <c r="I248" s="6">
        <v>250</v>
      </c>
      <c r="J248" s="1" t="str">
        <f>VLOOKUP(BUDGET!K248,IE!$A$2:$C$132,3,FALSE)</f>
        <v>Materials &amp; Services</v>
      </c>
      <c r="K248" s="24">
        <v>366</v>
      </c>
      <c r="L248" s="1" t="s">
        <v>142</v>
      </c>
      <c r="M248" s="22">
        <v>2000</v>
      </c>
      <c r="N248" s="22"/>
    </row>
    <row r="249" spans="1:15">
      <c r="A249" s="6">
        <v>20</v>
      </c>
      <c r="B249" s="1" t="s">
        <v>257</v>
      </c>
      <c r="C249" s="6">
        <v>420</v>
      </c>
      <c r="D249" s="1" t="s">
        <v>251</v>
      </c>
      <c r="E249" s="12" t="s">
        <v>52</v>
      </c>
      <c r="G249" s="6">
        <v>420</v>
      </c>
      <c r="H249" s="1" t="s">
        <v>255</v>
      </c>
      <c r="I249" s="6">
        <v>250</v>
      </c>
      <c r="J249" s="1" t="str">
        <f>VLOOKUP(BUDGET!K249,IE!$A$2:$C$132,3,FALSE)</f>
        <v>Materials &amp; Services</v>
      </c>
      <c r="K249" s="24">
        <v>369</v>
      </c>
      <c r="L249" s="1" t="s">
        <v>123</v>
      </c>
      <c r="M249" s="22">
        <v>800</v>
      </c>
      <c r="N249" s="22"/>
    </row>
    <row r="250" spans="1:15">
      <c r="A250" s="6">
        <v>20</v>
      </c>
      <c r="B250" s="1" t="s">
        <v>257</v>
      </c>
      <c r="C250" s="6">
        <v>420</v>
      </c>
      <c r="D250" s="1" t="s">
        <v>251</v>
      </c>
      <c r="E250" s="12" t="s">
        <v>52</v>
      </c>
      <c r="G250" s="6">
        <v>420</v>
      </c>
      <c r="H250" s="1" t="s">
        <v>255</v>
      </c>
      <c r="I250" s="6">
        <v>250</v>
      </c>
      <c r="J250" s="1" t="str">
        <f>VLOOKUP(BUDGET!K250,IE!$A$2:$C$132,3,FALSE)</f>
        <v>Materials &amp; Services</v>
      </c>
      <c r="K250" s="24">
        <v>371</v>
      </c>
      <c r="L250" s="1" t="s">
        <v>156</v>
      </c>
      <c r="M250" s="22">
        <v>1500</v>
      </c>
      <c r="N250" s="22"/>
      <c r="O250" s="1" t="s">
        <v>424</v>
      </c>
    </row>
    <row r="251" spans="1:15">
      <c r="A251" s="6">
        <v>20</v>
      </c>
      <c r="B251" s="1" t="s">
        <v>257</v>
      </c>
      <c r="C251" s="6">
        <v>420</v>
      </c>
      <c r="D251" s="1" t="s">
        <v>251</v>
      </c>
      <c r="E251" s="12" t="s">
        <v>52</v>
      </c>
      <c r="G251" s="6">
        <v>420</v>
      </c>
      <c r="H251" s="1" t="s">
        <v>255</v>
      </c>
      <c r="I251" s="6">
        <v>268</v>
      </c>
      <c r="J251" s="1" t="str">
        <f>VLOOKUP(BUDGET!K251,IE!$A$2:$C$132,3,FALSE)</f>
        <v>Motor Vehicle Expenses</v>
      </c>
      <c r="K251" s="24">
        <v>394</v>
      </c>
      <c r="L251" s="1" t="s">
        <v>158</v>
      </c>
      <c r="M251" s="22">
        <v>500</v>
      </c>
      <c r="N251" s="22"/>
    </row>
    <row r="252" spans="1:15">
      <c r="A252" s="6">
        <v>20</v>
      </c>
      <c r="B252" s="1" t="s">
        <v>257</v>
      </c>
      <c r="C252" s="6">
        <v>420</v>
      </c>
      <c r="D252" s="1" t="s">
        <v>251</v>
      </c>
      <c r="E252" s="12" t="s">
        <v>52</v>
      </c>
      <c r="G252" s="6">
        <v>420</v>
      </c>
      <c r="H252" s="1" t="s">
        <v>255</v>
      </c>
      <c r="I252" s="6">
        <v>270</v>
      </c>
      <c r="J252" s="1" t="str">
        <f>VLOOKUP(BUDGET!K252,IE!$A$2:$C$132,3,FALSE)</f>
        <v>Materials &amp; Services</v>
      </c>
      <c r="K252" s="24">
        <v>333</v>
      </c>
      <c r="L252" s="1" t="s">
        <v>169</v>
      </c>
      <c r="M252" s="22">
        <v>7000</v>
      </c>
      <c r="N252" s="22"/>
    </row>
    <row r="253" spans="1:15">
      <c r="A253" s="6">
        <v>20</v>
      </c>
      <c r="B253" s="1" t="s">
        <v>257</v>
      </c>
      <c r="C253" s="6">
        <v>420</v>
      </c>
      <c r="D253" s="1" t="s">
        <v>251</v>
      </c>
      <c r="E253" s="12" t="s">
        <v>52</v>
      </c>
      <c r="G253" s="6">
        <v>420</v>
      </c>
      <c r="H253" s="1" t="s">
        <v>255</v>
      </c>
      <c r="I253" s="6">
        <v>272</v>
      </c>
      <c r="J253" s="1" t="str">
        <f>VLOOKUP(BUDGET!K253,IE!$A$2:$C$132,3,FALSE)</f>
        <v>Property Expenses</v>
      </c>
      <c r="K253" s="24">
        <v>380</v>
      </c>
      <c r="L253" s="1" t="s">
        <v>127</v>
      </c>
      <c r="M253" s="22">
        <v>9000</v>
      </c>
      <c r="N253" s="22"/>
      <c r="O253" s="1" t="s">
        <v>421</v>
      </c>
    </row>
    <row r="254" spans="1:15">
      <c r="A254" s="6">
        <v>20</v>
      </c>
      <c r="B254" s="1" t="s">
        <v>257</v>
      </c>
      <c r="C254" s="6">
        <v>420</v>
      </c>
      <c r="D254" s="1" t="s">
        <v>251</v>
      </c>
      <c r="E254" s="12" t="s">
        <v>52</v>
      </c>
      <c r="G254" s="6">
        <v>420</v>
      </c>
      <c r="H254" s="1" t="s">
        <v>255</v>
      </c>
      <c r="I254" s="6">
        <v>272</v>
      </c>
      <c r="J254" s="1" t="str">
        <f>VLOOKUP(BUDGET!K254,IE!$A$2:$C$132,3,FALSE)</f>
        <v>Property Expenses</v>
      </c>
      <c r="K254" s="24">
        <v>382</v>
      </c>
      <c r="L254" s="1" t="s">
        <v>144</v>
      </c>
      <c r="M254" s="22">
        <v>1500</v>
      </c>
      <c r="N254" s="22"/>
    </row>
    <row r="255" spans="1:15">
      <c r="A255" s="6">
        <v>20</v>
      </c>
      <c r="B255" s="1" t="s">
        <v>257</v>
      </c>
      <c r="C255" s="6">
        <v>420</v>
      </c>
      <c r="D255" s="1" t="s">
        <v>251</v>
      </c>
      <c r="E255" s="12" t="s">
        <v>52</v>
      </c>
      <c r="G255" s="6">
        <v>420</v>
      </c>
      <c r="H255" s="1" t="s">
        <v>255</v>
      </c>
      <c r="I255" s="6">
        <v>278</v>
      </c>
      <c r="J255" s="1" t="str">
        <f>VLOOKUP(BUDGET!K255,IE!$A$2:$C$132,3,FALSE)</f>
        <v>Materials &amp; Services</v>
      </c>
      <c r="K255" s="24">
        <v>353</v>
      </c>
      <c r="L255" s="1" t="s">
        <v>112</v>
      </c>
      <c r="M255" s="22">
        <v>10000</v>
      </c>
      <c r="N255" s="22"/>
    </row>
    <row r="256" spans="1:15">
      <c r="A256" s="6">
        <v>20</v>
      </c>
      <c r="B256" s="1" t="s">
        <v>257</v>
      </c>
      <c r="C256" s="6">
        <v>420</v>
      </c>
      <c r="D256" s="1" t="s">
        <v>251</v>
      </c>
      <c r="E256" s="12" t="s">
        <v>52</v>
      </c>
      <c r="G256" s="6">
        <v>420</v>
      </c>
      <c r="H256" s="1" t="s">
        <v>255</v>
      </c>
      <c r="I256" s="6">
        <v>278</v>
      </c>
      <c r="J256" s="1" t="str">
        <f>VLOOKUP(BUDGET!K256,IE!$A$2:$C$132,3,FALSE)</f>
        <v>Materials &amp; Services</v>
      </c>
      <c r="K256" s="24">
        <v>356</v>
      </c>
      <c r="L256" s="1" t="s">
        <v>160</v>
      </c>
      <c r="M256" s="22">
        <v>2500</v>
      </c>
      <c r="N256" s="22"/>
    </row>
    <row r="257" spans="1:15">
      <c r="A257" s="6">
        <v>20</v>
      </c>
      <c r="B257" s="1" t="s">
        <v>257</v>
      </c>
      <c r="C257" s="6">
        <v>420</v>
      </c>
      <c r="D257" s="1" t="s">
        <v>251</v>
      </c>
      <c r="E257" s="12" t="s">
        <v>52</v>
      </c>
      <c r="G257" s="6">
        <v>420</v>
      </c>
      <c r="H257" s="1" t="s">
        <v>255</v>
      </c>
      <c r="I257" s="6">
        <v>900</v>
      </c>
      <c r="J257" s="1" t="str">
        <f>VLOOKUP(BUDGET!K257,IE!$A$2:$C$132,3,FALSE)</f>
        <v>Internal Transfer</v>
      </c>
      <c r="K257" s="24">
        <v>904</v>
      </c>
      <c r="L257" s="1" t="s">
        <v>161</v>
      </c>
      <c r="M257" s="22">
        <v>4500</v>
      </c>
      <c r="N257" s="22"/>
    </row>
    <row r="258" spans="1:15">
      <c r="A258" s="6">
        <v>20</v>
      </c>
      <c r="B258" s="1" t="s">
        <v>257</v>
      </c>
      <c r="C258" s="6">
        <v>420</v>
      </c>
      <c r="D258" s="1" t="s">
        <v>251</v>
      </c>
      <c r="E258" s="12" t="s">
        <v>52</v>
      </c>
      <c r="G258" s="6">
        <v>420</v>
      </c>
      <c r="H258" s="1" t="s">
        <v>255</v>
      </c>
      <c r="I258" s="6">
        <v>900</v>
      </c>
      <c r="J258" s="1" t="str">
        <f>VLOOKUP(BUDGET!K258,IE!$A$2:$C$132,3,FALSE)</f>
        <v>Internal Transfer</v>
      </c>
      <c r="K258" s="24">
        <v>906</v>
      </c>
      <c r="L258" s="1" t="s">
        <v>162</v>
      </c>
      <c r="M258" s="22">
        <v>2500</v>
      </c>
      <c r="N258" s="22"/>
    </row>
    <row r="259" spans="1:15">
      <c r="A259" s="6">
        <v>20</v>
      </c>
      <c r="B259" s="1" t="s">
        <v>257</v>
      </c>
      <c r="C259" s="6">
        <v>420</v>
      </c>
      <c r="D259" s="1" t="s">
        <v>251</v>
      </c>
      <c r="E259" s="12">
        <v>42030</v>
      </c>
      <c r="G259" s="6">
        <v>420</v>
      </c>
      <c r="H259" s="1" t="s">
        <v>255</v>
      </c>
      <c r="I259" s="6"/>
      <c r="J259" s="1" t="str">
        <f>VLOOKUP(BUDGET!K259,IE!$A$2:$C$132,3,FALSE)</f>
        <v>Internal Transfer</v>
      </c>
      <c r="K259" s="24">
        <v>910</v>
      </c>
      <c r="L259" s="1" t="s">
        <v>125</v>
      </c>
      <c r="M259" s="15">
        <f>-M236+-M237+-M238+-M239-SUM(M240:M258)</f>
        <v>-140211.20480000001</v>
      </c>
      <c r="N259" s="15"/>
    </row>
    <row r="260" spans="1:15">
      <c r="A260" s="6">
        <v>20</v>
      </c>
      <c r="B260" s="1" t="s">
        <v>257</v>
      </c>
      <c r="C260" s="6">
        <v>510</v>
      </c>
      <c r="D260" s="1" t="s">
        <v>258</v>
      </c>
      <c r="E260" s="12" t="s">
        <v>53</v>
      </c>
      <c r="F260" s="1" t="s">
        <v>259</v>
      </c>
      <c r="G260" s="1" t="s">
        <v>12</v>
      </c>
      <c r="I260" s="6">
        <v>114</v>
      </c>
      <c r="J260" s="1" t="str">
        <f>VLOOKUP(BUDGET!K260,IE!$A$2:$C$132,3,FALSE)</f>
        <v>Rental Income</v>
      </c>
      <c r="K260" s="24">
        <v>144</v>
      </c>
      <c r="L260" s="1" t="s">
        <v>260</v>
      </c>
      <c r="M260" s="20">
        <v>-300000</v>
      </c>
      <c r="N260" s="20"/>
      <c r="O260" s="7" t="s">
        <v>471</v>
      </c>
    </row>
    <row r="261" spans="1:15">
      <c r="A261" s="6">
        <v>20</v>
      </c>
      <c r="B261" s="1" t="s">
        <v>257</v>
      </c>
      <c r="C261" s="6">
        <v>510</v>
      </c>
      <c r="D261" s="1" t="s">
        <v>258</v>
      </c>
      <c r="E261" s="12" t="s">
        <v>53</v>
      </c>
      <c r="F261" s="1" t="s">
        <v>259</v>
      </c>
      <c r="G261" s="1" t="s">
        <v>12</v>
      </c>
      <c r="I261" s="6">
        <v>122</v>
      </c>
      <c r="J261" s="1" t="str">
        <f>VLOOKUP(BUDGET!K261,IE!$A$2:$C$132,3,FALSE)</f>
        <v>Fees &amp; Charges</v>
      </c>
      <c r="K261" s="24">
        <v>127</v>
      </c>
      <c r="L261" s="1" t="s">
        <v>261</v>
      </c>
      <c r="M261" s="20">
        <v>-2000</v>
      </c>
      <c r="N261" s="20"/>
    </row>
    <row r="262" spans="1:15">
      <c r="A262" s="6">
        <v>20</v>
      </c>
      <c r="B262" s="1" t="s">
        <v>257</v>
      </c>
      <c r="C262" s="6">
        <v>510</v>
      </c>
      <c r="D262" s="1" t="s">
        <v>258</v>
      </c>
      <c r="E262" s="12" t="s">
        <v>54</v>
      </c>
      <c r="G262" s="6">
        <v>510</v>
      </c>
      <c r="H262" s="1" t="s">
        <v>262</v>
      </c>
      <c r="I262" s="6">
        <v>201</v>
      </c>
      <c r="J262" s="1" t="str">
        <f>VLOOKUP(BUDGET!K262,IE!$A$2:$C$132,3,FALSE)</f>
        <v>Salaries &amp; Wages</v>
      </c>
      <c r="K262" s="24">
        <v>210</v>
      </c>
      <c r="L262" s="1" t="s">
        <v>117</v>
      </c>
      <c r="M262" s="22">
        <v>165273</v>
      </c>
      <c r="N262" s="22"/>
      <c r="O262" s="1" t="s">
        <v>452</v>
      </c>
    </row>
    <row r="263" spans="1:15">
      <c r="A263" s="6">
        <v>20</v>
      </c>
      <c r="B263" s="1" t="s">
        <v>257</v>
      </c>
      <c r="C263" s="6">
        <v>510</v>
      </c>
      <c r="D263" s="1" t="s">
        <v>258</v>
      </c>
      <c r="E263" s="12" t="s">
        <v>54</v>
      </c>
      <c r="G263" s="6">
        <v>510</v>
      </c>
      <c r="H263" s="1" t="s">
        <v>262</v>
      </c>
      <c r="I263" s="6">
        <v>204</v>
      </c>
      <c r="J263" s="1" t="str">
        <f>VLOOKUP(BUDGET!K263,IE!$A$2:$C$132,3,FALSE)</f>
        <v>Salaries &amp; Wages</v>
      </c>
      <c r="K263" s="24">
        <v>240</v>
      </c>
      <c r="L263" s="1" t="s">
        <v>118</v>
      </c>
      <c r="M263" s="22">
        <f>M262*12%</f>
        <v>19832.759999999998</v>
      </c>
      <c r="N263" s="22"/>
    </row>
    <row r="264" spans="1:15">
      <c r="A264" s="6">
        <v>20</v>
      </c>
      <c r="B264" s="1" t="s">
        <v>257</v>
      </c>
      <c r="C264" s="6">
        <v>510</v>
      </c>
      <c r="D264" s="1" t="s">
        <v>258</v>
      </c>
      <c r="E264" s="12" t="s">
        <v>54</v>
      </c>
      <c r="G264" s="6">
        <v>510</v>
      </c>
      <c r="H264" s="1" t="s">
        <v>262</v>
      </c>
      <c r="I264" s="6">
        <v>205</v>
      </c>
      <c r="J264" s="1" t="str">
        <f>VLOOKUP(BUDGET!K264,IE!$A$2:$C$132,3,FALSE)</f>
        <v>Salaries &amp; Wages</v>
      </c>
      <c r="K264" s="24">
        <v>255</v>
      </c>
      <c r="L264" s="1" t="s">
        <v>138</v>
      </c>
      <c r="M264" s="22">
        <v>600</v>
      </c>
      <c r="N264" s="22"/>
    </row>
    <row r="265" spans="1:15">
      <c r="A265" s="6">
        <v>20</v>
      </c>
      <c r="B265" s="1" t="s">
        <v>257</v>
      </c>
      <c r="C265" s="6">
        <v>510</v>
      </c>
      <c r="D265" s="1" t="s">
        <v>258</v>
      </c>
      <c r="E265" s="12" t="s">
        <v>54</v>
      </c>
      <c r="G265" s="6">
        <v>510</v>
      </c>
      <c r="H265" s="1" t="s">
        <v>262</v>
      </c>
      <c r="I265" s="6">
        <v>205</v>
      </c>
      <c r="J265" s="1" t="str">
        <f>VLOOKUP(BUDGET!K265,IE!$A$2:$C$132,3,FALSE)</f>
        <v>Salaries &amp; Wages</v>
      </c>
      <c r="K265" s="24">
        <v>256</v>
      </c>
      <c r="L265" s="1" t="s">
        <v>119</v>
      </c>
      <c r="M265" s="22">
        <f>(M262+M263)*1.5%</f>
        <v>2776.5864000000001</v>
      </c>
      <c r="N265" s="22"/>
    </row>
    <row r="266" spans="1:15">
      <c r="A266" s="6">
        <v>20</v>
      </c>
      <c r="B266" s="1" t="s">
        <v>257</v>
      </c>
      <c r="C266" s="6">
        <v>510</v>
      </c>
      <c r="D266" s="1" t="s">
        <v>258</v>
      </c>
      <c r="E266" s="12" t="s">
        <v>54</v>
      </c>
      <c r="G266" s="6">
        <v>510</v>
      </c>
      <c r="H266" s="1" t="s">
        <v>262</v>
      </c>
      <c r="I266" s="6">
        <v>250</v>
      </c>
      <c r="J266" s="1" t="str">
        <f>VLOOKUP(BUDGET!K266,IE!$A$2:$C$132,3,FALSE)</f>
        <v>Materials &amp; Services</v>
      </c>
      <c r="K266" s="24">
        <v>319</v>
      </c>
      <c r="L266" s="1" t="s">
        <v>167</v>
      </c>
      <c r="M266" s="22">
        <v>5000</v>
      </c>
      <c r="N266" s="22"/>
    </row>
    <row r="267" spans="1:15">
      <c r="A267" s="6">
        <v>20</v>
      </c>
      <c r="B267" s="1" t="s">
        <v>257</v>
      </c>
      <c r="C267" s="6">
        <v>510</v>
      </c>
      <c r="D267" s="1" t="s">
        <v>258</v>
      </c>
      <c r="E267" s="12" t="s">
        <v>54</v>
      </c>
      <c r="G267" s="6">
        <v>510</v>
      </c>
      <c r="H267" s="1" t="s">
        <v>262</v>
      </c>
      <c r="I267" s="6">
        <v>250</v>
      </c>
      <c r="J267" s="1" t="str">
        <f>VLOOKUP(BUDGET!K267,IE!$A$2:$C$132,3,FALSE)</f>
        <v>Materials &amp; Services</v>
      </c>
      <c r="K267" s="24">
        <v>335</v>
      </c>
      <c r="L267" s="1" t="s">
        <v>110</v>
      </c>
      <c r="M267" s="22">
        <v>6000</v>
      </c>
      <c r="N267" s="22"/>
    </row>
    <row r="268" spans="1:15">
      <c r="A268" s="6">
        <v>20</v>
      </c>
      <c r="B268" s="1" t="s">
        <v>257</v>
      </c>
      <c r="C268" s="6">
        <v>510</v>
      </c>
      <c r="D268" s="1" t="s">
        <v>258</v>
      </c>
      <c r="E268" s="12" t="s">
        <v>54</v>
      </c>
      <c r="G268" s="6">
        <v>510</v>
      </c>
      <c r="H268" s="1" t="s">
        <v>262</v>
      </c>
      <c r="I268" s="6">
        <v>250</v>
      </c>
      <c r="J268" s="1" t="str">
        <f>VLOOKUP(BUDGET!K268,IE!$A$2:$C$132,3,FALSE)</f>
        <v>Materials &amp; Services</v>
      </c>
      <c r="K268" s="24">
        <v>358</v>
      </c>
      <c r="L268" s="1" t="s">
        <v>111</v>
      </c>
      <c r="M268" s="22">
        <v>25000</v>
      </c>
      <c r="N268" s="22"/>
      <c r="O268" s="1" t="s">
        <v>453</v>
      </c>
    </row>
    <row r="269" spans="1:15">
      <c r="A269" s="6">
        <v>20</v>
      </c>
      <c r="B269" s="1" t="s">
        <v>257</v>
      </c>
      <c r="C269" s="6">
        <v>510</v>
      </c>
      <c r="D269" s="1" t="s">
        <v>258</v>
      </c>
      <c r="E269" s="12" t="s">
        <v>54</v>
      </c>
      <c r="G269" s="6">
        <v>510</v>
      </c>
      <c r="H269" s="1" t="s">
        <v>262</v>
      </c>
      <c r="I269" s="6">
        <v>250</v>
      </c>
      <c r="J269" s="1" t="str">
        <f>VLOOKUP(BUDGET!K269,IE!$A$2:$C$132,3,FALSE)</f>
        <v>Materials &amp; Services</v>
      </c>
      <c r="K269" s="24">
        <v>366</v>
      </c>
      <c r="L269" s="1" t="s">
        <v>142</v>
      </c>
      <c r="M269" s="22">
        <v>1000</v>
      </c>
      <c r="N269" s="22"/>
    </row>
    <row r="270" spans="1:15">
      <c r="A270" s="6">
        <v>20</v>
      </c>
      <c r="B270" s="1" t="s">
        <v>257</v>
      </c>
      <c r="C270" s="6">
        <v>510</v>
      </c>
      <c r="D270" s="1" t="s">
        <v>258</v>
      </c>
      <c r="E270" s="12" t="s">
        <v>54</v>
      </c>
      <c r="G270" s="6">
        <v>510</v>
      </c>
      <c r="H270" s="1" t="s">
        <v>262</v>
      </c>
      <c r="I270" s="6">
        <v>250</v>
      </c>
      <c r="J270" s="1" t="str">
        <f>VLOOKUP(BUDGET!K270,IE!$A$2:$C$132,3,FALSE)</f>
        <v>Materials &amp; Services</v>
      </c>
      <c r="K270" s="24">
        <v>369</v>
      </c>
      <c r="L270" s="1" t="s">
        <v>123</v>
      </c>
      <c r="M270" s="22">
        <v>2000</v>
      </c>
      <c r="N270" s="22"/>
    </row>
    <row r="271" spans="1:15">
      <c r="A271" s="6">
        <v>20</v>
      </c>
      <c r="B271" s="1" t="s">
        <v>257</v>
      </c>
      <c r="C271" s="6">
        <v>510</v>
      </c>
      <c r="D271" s="1" t="s">
        <v>258</v>
      </c>
      <c r="E271" s="12" t="s">
        <v>54</v>
      </c>
      <c r="G271" s="6">
        <v>510</v>
      </c>
      <c r="H271" s="1" t="s">
        <v>262</v>
      </c>
      <c r="I271" s="6">
        <v>250</v>
      </c>
      <c r="J271" s="1" t="str">
        <f>VLOOKUP(BUDGET!K271,IE!$A$2:$C$132,3,FALSE)</f>
        <v>Materials &amp; Services</v>
      </c>
      <c r="K271" s="24">
        <v>371</v>
      </c>
      <c r="L271" s="1" t="s">
        <v>156</v>
      </c>
      <c r="M271" s="22">
        <v>1500</v>
      </c>
      <c r="N271" s="22"/>
    </row>
    <row r="272" spans="1:15">
      <c r="A272" s="6">
        <v>20</v>
      </c>
      <c r="B272" s="1" t="s">
        <v>257</v>
      </c>
      <c r="C272" s="6">
        <v>510</v>
      </c>
      <c r="D272" s="1" t="s">
        <v>258</v>
      </c>
      <c r="E272" s="12" t="s">
        <v>54</v>
      </c>
      <c r="G272" s="6">
        <v>510</v>
      </c>
      <c r="H272" s="1" t="s">
        <v>262</v>
      </c>
      <c r="I272" s="6">
        <v>268</v>
      </c>
      <c r="J272" s="1" t="str">
        <f>VLOOKUP(BUDGET!K272,IE!$A$2:$C$132,3,FALSE)</f>
        <v>Motor Vehicle Expenses</v>
      </c>
      <c r="K272" s="24">
        <v>394</v>
      </c>
      <c r="L272" s="1" t="s">
        <v>158</v>
      </c>
      <c r="M272" s="22">
        <v>800</v>
      </c>
      <c r="N272" s="22"/>
    </row>
    <row r="273" spans="1:15">
      <c r="A273" s="6">
        <v>20</v>
      </c>
      <c r="B273" s="1" t="s">
        <v>257</v>
      </c>
      <c r="C273" s="6">
        <v>510</v>
      </c>
      <c r="D273" s="1" t="s">
        <v>258</v>
      </c>
      <c r="E273" s="12" t="s">
        <v>54</v>
      </c>
      <c r="G273" s="6">
        <v>510</v>
      </c>
      <c r="H273" s="1" t="s">
        <v>262</v>
      </c>
      <c r="I273" s="6">
        <v>270</v>
      </c>
      <c r="J273" s="1" t="str">
        <f>VLOOKUP(BUDGET!K273,IE!$A$2:$C$132,3,FALSE)</f>
        <v>Materials &amp; Services</v>
      </c>
      <c r="K273" s="24">
        <v>333</v>
      </c>
      <c r="L273" s="1" t="s">
        <v>169</v>
      </c>
      <c r="M273" s="22">
        <v>10000</v>
      </c>
      <c r="N273" s="22"/>
    </row>
    <row r="274" spans="1:15">
      <c r="A274" s="6">
        <v>20</v>
      </c>
      <c r="B274" s="1" t="s">
        <v>257</v>
      </c>
      <c r="C274" s="6">
        <v>510</v>
      </c>
      <c r="D274" s="1" t="s">
        <v>258</v>
      </c>
      <c r="E274" s="12" t="s">
        <v>54</v>
      </c>
      <c r="G274" s="6">
        <v>510</v>
      </c>
      <c r="H274" s="1" t="s">
        <v>262</v>
      </c>
      <c r="I274" s="6">
        <v>272</v>
      </c>
      <c r="J274" s="1" t="str">
        <f>VLOOKUP(BUDGET!K274,IE!$A$2:$C$132,3,FALSE)</f>
        <v>Property Expenses</v>
      </c>
      <c r="K274" s="24">
        <v>380</v>
      </c>
      <c r="L274" s="1" t="s">
        <v>127</v>
      </c>
      <c r="M274" s="22">
        <v>5000</v>
      </c>
      <c r="N274" s="22"/>
    </row>
    <row r="275" spans="1:15">
      <c r="A275" s="6">
        <v>20</v>
      </c>
      <c r="B275" s="1" t="s">
        <v>257</v>
      </c>
      <c r="C275" s="6">
        <v>510</v>
      </c>
      <c r="D275" s="1" t="s">
        <v>258</v>
      </c>
      <c r="E275" s="12" t="s">
        <v>54</v>
      </c>
      <c r="G275" s="6">
        <v>510</v>
      </c>
      <c r="H275" s="1" t="s">
        <v>262</v>
      </c>
      <c r="I275" s="6">
        <v>278</v>
      </c>
      <c r="J275" s="1" t="str">
        <f>VLOOKUP(BUDGET!K275,IE!$A$2:$C$132,3,FALSE)</f>
        <v>Materials &amp; Services</v>
      </c>
      <c r="K275" s="24">
        <v>353</v>
      </c>
      <c r="L275" s="1" t="s">
        <v>112</v>
      </c>
      <c r="M275" s="22">
        <v>10000</v>
      </c>
      <c r="N275" s="22"/>
    </row>
    <row r="276" spans="1:15">
      <c r="A276" s="6">
        <v>20</v>
      </c>
      <c r="B276" s="1" t="s">
        <v>257</v>
      </c>
      <c r="C276" s="6">
        <v>510</v>
      </c>
      <c r="D276" s="1" t="s">
        <v>258</v>
      </c>
      <c r="E276" s="12" t="s">
        <v>54</v>
      </c>
      <c r="G276" s="6">
        <v>510</v>
      </c>
      <c r="H276" s="1" t="s">
        <v>262</v>
      </c>
      <c r="I276" s="6">
        <v>278</v>
      </c>
      <c r="J276" s="1" t="str">
        <f>VLOOKUP(BUDGET!K276,IE!$A$2:$C$132,3,FALSE)</f>
        <v>Materials &amp; Services</v>
      </c>
      <c r="K276" s="24">
        <v>356</v>
      </c>
      <c r="L276" s="1" t="s">
        <v>160</v>
      </c>
      <c r="M276" s="22">
        <v>800</v>
      </c>
      <c r="N276" s="22"/>
    </row>
    <row r="277" spans="1:15">
      <c r="A277" s="6">
        <v>20</v>
      </c>
      <c r="B277" s="1" t="s">
        <v>257</v>
      </c>
      <c r="C277" s="6">
        <v>510</v>
      </c>
      <c r="D277" s="1" t="s">
        <v>258</v>
      </c>
      <c r="E277" s="12" t="s">
        <v>54</v>
      </c>
      <c r="G277" s="6">
        <v>510</v>
      </c>
      <c r="H277" s="1" t="s">
        <v>262</v>
      </c>
      <c r="I277" s="6">
        <v>810</v>
      </c>
      <c r="J277" s="1" t="str">
        <f>VLOOKUP(BUDGET!K277,IE!$A$2:$C$132,3,FALSE)</f>
        <v>Capital Expenses</v>
      </c>
      <c r="K277" s="24">
        <v>810</v>
      </c>
      <c r="L277" s="1" t="s">
        <v>182</v>
      </c>
      <c r="M277" s="22">
        <v>0</v>
      </c>
      <c r="N277" s="22"/>
      <c r="O277" s="1" t="s">
        <v>472</v>
      </c>
    </row>
    <row r="278" spans="1:15">
      <c r="A278" s="6">
        <v>20</v>
      </c>
      <c r="B278" s="1" t="s">
        <v>257</v>
      </c>
      <c r="C278" s="6">
        <v>510</v>
      </c>
      <c r="D278" s="1" t="s">
        <v>258</v>
      </c>
      <c r="E278" s="12" t="s">
        <v>54</v>
      </c>
      <c r="G278" s="6">
        <v>510</v>
      </c>
      <c r="H278" s="1" t="s">
        <v>262</v>
      </c>
      <c r="I278" s="6">
        <v>900</v>
      </c>
      <c r="J278" s="1" t="str">
        <f>VLOOKUP(BUDGET!K278,IE!$A$2:$C$132,3,FALSE)</f>
        <v>Internal Transfer</v>
      </c>
      <c r="K278" s="24">
        <v>902</v>
      </c>
      <c r="L278" s="1" t="s">
        <v>200</v>
      </c>
      <c r="M278" s="22">
        <v>3000</v>
      </c>
      <c r="N278" s="22"/>
    </row>
    <row r="279" spans="1:15">
      <c r="A279" s="6">
        <v>20</v>
      </c>
      <c r="B279" s="1" t="s">
        <v>257</v>
      </c>
      <c r="C279" s="6">
        <v>510</v>
      </c>
      <c r="D279" s="1" t="s">
        <v>258</v>
      </c>
      <c r="E279" s="12" t="s">
        <v>54</v>
      </c>
      <c r="G279" s="6">
        <v>510</v>
      </c>
      <c r="H279" s="1" t="s">
        <v>262</v>
      </c>
      <c r="I279" s="6">
        <v>900</v>
      </c>
      <c r="J279" s="1" t="str">
        <f>VLOOKUP(BUDGET!K279,IE!$A$2:$C$132,3,FALSE)</f>
        <v>Internal Transfer</v>
      </c>
      <c r="K279" s="24">
        <v>903</v>
      </c>
      <c r="L279" s="1" t="s">
        <v>147</v>
      </c>
      <c r="M279" s="22">
        <f>-M38+-M189+-M217+-M291+-M529</f>
        <v>64418.600000000006</v>
      </c>
      <c r="N279" s="22"/>
    </row>
    <row r="280" spans="1:15">
      <c r="A280" s="6">
        <v>20</v>
      </c>
      <c r="B280" s="1" t="s">
        <v>257</v>
      </c>
      <c r="C280" s="6">
        <v>510</v>
      </c>
      <c r="D280" s="1" t="s">
        <v>258</v>
      </c>
      <c r="E280" s="12" t="s">
        <v>54</v>
      </c>
      <c r="G280" s="6">
        <v>510</v>
      </c>
      <c r="H280" s="1" t="s">
        <v>262</v>
      </c>
      <c r="I280" s="6">
        <v>900</v>
      </c>
      <c r="J280" s="1" t="str">
        <f>VLOOKUP(BUDGET!K280,IE!$A$2:$C$132,3,FALSE)</f>
        <v>Internal Transfer</v>
      </c>
      <c r="K280" s="24">
        <v>904</v>
      </c>
      <c r="L280" s="1" t="s">
        <v>161</v>
      </c>
      <c r="M280" s="22">
        <v>2500</v>
      </c>
      <c r="N280" s="22"/>
    </row>
    <row r="281" spans="1:15">
      <c r="A281" s="6">
        <v>20</v>
      </c>
      <c r="B281" s="1" t="s">
        <v>257</v>
      </c>
      <c r="C281" s="6">
        <v>510</v>
      </c>
      <c r="D281" s="1" t="s">
        <v>258</v>
      </c>
      <c r="E281" s="12" t="s">
        <v>54</v>
      </c>
      <c r="G281" s="6">
        <v>510</v>
      </c>
      <c r="H281" s="1" t="s">
        <v>262</v>
      </c>
      <c r="I281" s="6">
        <v>900</v>
      </c>
      <c r="J281" s="1" t="str">
        <f>VLOOKUP(BUDGET!K281,IE!$A$2:$C$132,3,FALSE)</f>
        <v>Internal Transfer</v>
      </c>
      <c r="K281" s="24">
        <v>905</v>
      </c>
      <c r="L281" s="1" t="s">
        <v>148</v>
      </c>
      <c r="M281" s="22">
        <v>7500</v>
      </c>
      <c r="N281" s="22"/>
    </row>
    <row r="282" spans="1:15">
      <c r="A282" s="6">
        <v>20</v>
      </c>
      <c r="B282" s="1" t="s">
        <v>257</v>
      </c>
      <c r="C282" s="6">
        <v>510</v>
      </c>
      <c r="D282" s="1" t="s">
        <v>258</v>
      </c>
      <c r="E282" s="12" t="s">
        <v>54</v>
      </c>
      <c r="G282" s="6">
        <v>510</v>
      </c>
      <c r="H282" s="1" t="s">
        <v>262</v>
      </c>
      <c r="I282" s="6">
        <v>900</v>
      </c>
      <c r="J282" s="1" t="str">
        <f>VLOOKUP(BUDGET!K282,IE!$A$2:$C$132,3,FALSE)</f>
        <v>Internal Transfer</v>
      </c>
      <c r="K282" s="24">
        <v>906</v>
      </c>
      <c r="L282" s="1" t="s">
        <v>162</v>
      </c>
      <c r="M282" s="22">
        <v>1500</v>
      </c>
      <c r="N282" s="22"/>
    </row>
    <row r="283" spans="1:15">
      <c r="A283" s="6">
        <v>20</v>
      </c>
      <c r="B283" s="1" t="s">
        <v>257</v>
      </c>
      <c r="C283" s="6">
        <v>515</v>
      </c>
      <c r="D283" s="1" t="s">
        <v>264</v>
      </c>
      <c r="E283" s="12" t="s">
        <v>55</v>
      </c>
      <c r="G283" s="6">
        <v>515</v>
      </c>
      <c r="H283" s="1" t="s">
        <v>265</v>
      </c>
      <c r="I283" s="6">
        <v>250</v>
      </c>
      <c r="J283" s="1" t="str">
        <f>VLOOKUP(BUDGET!K283,IE!$A$2:$C$132,3,FALSE)</f>
        <v>Materials &amp; Services</v>
      </c>
      <c r="K283" s="24">
        <v>335</v>
      </c>
      <c r="L283" s="1" t="s">
        <v>110</v>
      </c>
      <c r="M283" s="22">
        <v>3500</v>
      </c>
      <c r="N283" s="22"/>
      <c r="O283" s="1" t="s">
        <v>456</v>
      </c>
    </row>
    <row r="284" spans="1:15">
      <c r="A284" s="6">
        <v>20</v>
      </c>
      <c r="B284" s="1" t="s">
        <v>257</v>
      </c>
      <c r="C284" s="6">
        <v>515</v>
      </c>
      <c r="D284" s="1" t="s">
        <v>264</v>
      </c>
      <c r="E284" s="12" t="s">
        <v>55</v>
      </c>
      <c r="G284" s="6">
        <v>515</v>
      </c>
      <c r="H284" s="1" t="s">
        <v>265</v>
      </c>
      <c r="I284" s="6">
        <v>250</v>
      </c>
      <c r="J284" s="1" t="str">
        <f>VLOOKUP(BUDGET!K284,IE!$A$2:$C$132,3,FALSE)</f>
        <v>Materials &amp; Services</v>
      </c>
      <c r="K284" s="24">
        <v>358</v>
      </c>
      <c r="L284" s="1" t="s">
        <v>111</v>
      </c>
      <c r="M284" s="22">
        <v>5000</v>
      </c>
      <c r="N284" s="22"/>
    </row>
    <row r="285" spans="1:15">
      <c r="A285" s="6">
        <v>20</v>
      </c>
      <c r="B285" s="1" t="s">
        <v>257</v>
      </c>
      <c r="C285" s="6">
        <v>515</v>
      </c>
      <c r="D285" s="1" t="s">
        <v>264</v>
      </c>
      <c r="E285" s="12" t="s">
        <v>55</v>
      </c>
      <c r="G285" s="6">
        <v>515</v>
      </c>
      <c r="H285" s="1" t="s">
        <v>265</v>
      </c>
      <c r="I285" s="6">
        <v>270</v>
      </c>
      <c r="J285" s="1" t="str">
        <f>VLOOKUP(BUDGET!K285,IE!$A$2:$C$132,3,FALSE)</f>
        <v>Materials &amp; Services</v>
      </c>
      <c r="K285" s="24">
        <v>333</v>
      </c>
      <c r="L285" s="1" t="s">
        <v>169</v>
      </c>
      <c r="M285" s="22">
        <v>20000</v>
      </c>
      <c r="N285" s="22"/>
    </row>
    <row r="286" spans="1:15">
      <c r="A286" s="6">
        <v>20</v>
      </c>
      <c r="B286" s="1" t="s">
        <v>257</v>
      </c>
      <c r="C286" s="6">
        <v>515</v>
      </c>
      <c r="D286" s="1" t="s">
        <v>264</v>
      </c>
      <c r="E286" s="12" t="s">
        <v>55</v>
      </c>
      <c r="G286" s="6">
        <v>515</v>
      </c>
      <c r="H286" s="1" t="s">
        <v>265</v>
      </c>
      <c r="I286" s="6">
        <v>272</v>
      </c>
      <c r="J286" s="1" t="str">
        <f>VLOOKUP(BUDGET!K286,IE!$A$2:$C$132,3,FALSE)</f>
        <v>Property Expenses</v>
      </c>
      <c r="K286" s="24">
        <v>380</v>
      </c>
      <c r="L286" s="1" t="s">
        <v>127</v>
      </c>
      <c r="M286" s="22">
        <v>12000</v>
      </c>
      <c r="N286" s="22"/>
      <c r="O286" s="1" t="s">
        <v>454</v>
      </c>
    </row>
    <row r="287" spans="1:15">
      <c r="A287" s="6">
        <v>20</v>
      </c>
      <c r="B287" s="1" t="s">
        <v>257</v>
      </c>
      <c r="C287" s="6">
        <v>515</v>
      </c>
      <c r="D287" s="1" t="s">
        <v>264</v>
      </c>
      <c r="E287" s="12" t="s">
        <v>55</v>
      </c>
      <c r="G287" s="6">
        <v>515</v>
      </c>
      <c r="H287" s="1" t="s">
        <v>265</v>
      </c>
      <c r="I287" s="6">
        <v>272</v>
      </c>
      <c r="J287" s="1" t="str">
        <f>VLOOKUP(BUDGET!K287,IE!$A$2:$C$132,3,FALSE)</f>
        <v>Property Expenses</v>
      </c>
      <c r="K287" s="24">
        <v>382</v>
      </c>
      <c r="L287" s="1" t="s">
        <v>144</v>
      </c>
      <c r="M287" s="22">
        <v>1500</v>
      </c>
      <c r="N287" s="22"/>
    </row>
    <row r="288" spans="1:15">
      <c r="A288" s="6">
        <v>20</v>
      </c>
      <c r="B288" s="1" t="s">
        <v>257</v>
      </c>
      <c r="C288" s="6">
        <v>515</v>
      </c>
      <c r="D288" s="1" t="s">
        <v>264</v>
      </c>
      <c r="E288" s="12" t="s">
        <v>55</v>
      </c>
      <c r="G288" s="6">
        <v>515</v>
      </c>
      <c r="H288" s="1" t="s">
        <v>265</v>
      </c>
      <c r="I288" s="6">
        <v>278</v>
      </c>
      <c r="J288" s="1" t="str">
        <f>VLOOKUP(BUDGET!K288,IE!$A$2:$C$132,3,FALSE)</f>
        <v>Materials &amp; Services</v>
      </c>
      <c r="K288" s="24">
        <v>353</v>
      </c>
      <c r="L288" s="1" t="s">
        <v>112</v>
      </c>
      <c r="M288" s="22">
        <v>7500</v>
      </c>
      <c r="N288" s="22"/>
    </row>
    <row r="289" spans="1:15">
      <c r="A289" s="6">
        <v>20</v>
      </c>
      <c r="B289" s="1" t="s">
        <v>257</v>
      </c>
      <c r="C289" s="6">
        <v>515</v>
      </c>
      <c r="D289" s="1" t="s">
        <v>264</v>
      </c>
      <c r="E289" s="12" t="s">
        <v>55</v>
      </c>
      <c r="G289" s="6">
        <v>515</v>
      </c>
      <c r="H289" s="1" t="s">
        <v>265</v>
      </c>
      <c r="I289" s="6">
        <v>278</v>
      </c>
      <c r="J289" s="1" t="str">
        <f>VLOOKUP(BUDGET!K289,IE!$A$2:$C$132,3,FALSE)</f>
        <v>Materials &amp; Services</v>
      </c>
      <c r="K289" s="24">
        <v>356</v>
      </c>
      <c r="L289" s="1" t="s">
        <v>160</v>
      </c>
      <c r="M289" s="22">
        <v>800</v>
      </c>
      <c r="N289" s="22"/>
    </row>
    <row r="290" spans="1:15">
      <c r="A290" s="6">
        <v>20</v>
      </c>
      <c r="B290" s="1" t="s">
        <v>257</v>
      </c>
      <c r="C290" s="6">
        <v>515</v>
      </c>
      <c r="D290" s="1" t="s">
        <v>264</v>
      </c>
      <c r="E290" s="12">
        <v>51540</v>
      </c>
      <c r="G290" s="6">
        <v>515</v>
      </c>
      <c r="H290" s="1" t="s">
        <v>265</v>
      </c>
      <c r="I290" s="6"/>
      <c r="J290" s="1" t="str">
        <f>VLOOKUP(BUDGET!K290,IE!$A$2:$C$132,3,FALSE)</f>
        <v>Internal Transfer</v>
      </c>
      <c r="K290" s="24">
        <v>902</v>
      </c>
      <c r="L290" s="1" t="s">
        <v>200</v>
      </c>
      <c r="M290" s="22">
        <v>1500</v>
      </c>
      <c r="N290" s="22"/>
    </row>
    <row r="291" spans="1:15">
      <c r="A291" s="6">
        <v>20</v>
      </c>
      <c r="B291" s="1" t="s">
        <v>257</v>
      </c>
      <c r="C291" s="6">
        <v>515</v>
      </c>
      <c r="D291" s="1" t="s">
        <v>264</v>
      </c>
      <c r="E291" s="12" t="s">
        <v>55</v>
      </c>
      <c r="G291" s="6">
        <v>515</v>
      </c>
      <c r="H291" s="1" t="s">
        <v>265</v>
      </c>
      <c r="I291" s="6">
        <v>900</v>
      </c>
      <c r="J291" s="1" t="str">
        <f>VLOOKUP(BUDGET!K291,IE!$A$2:$C$132,3,FALSE)</f>
        <v>Internal Transfer</v>
      </c>
      <c r="K291" s="24">
        <v>903</v>
      </c>
      <c r="L291" s="1" t="s">
        <v>147</v>
      </c>
      <c r="M291" s="20">
        <f>-M517+-M529+-M553</f>
        <v>-93218.6</v>
      </c>
      <c r="N291" s="20"/>
      <c r="O291" s="7" t="s">
        <v>391</v>
      </c>
    </row>
    <row r="292" spans="1:15">
      <c r="A292" s="6">
        <v>20</v>
      </c>
      <c r="B292" s="1" t="s">
        <v>257</v>
      </c>
      <c r="C292" s="6">
        <v>515</v>
      </c>
      <c r="D292" s="1" t="s">
        <v>264</v>
      </c>
      <c r="E292" s="12" t="s">
        <v>55</v>
      </c>
      <c r="G292" s="6">
        <v>515</v>
      </c>
      <c r="H292" s="1" t="s">
        <v>265</v>
      </c>
      <c r="I292" s="6">
        <v>900</v>
      </c>
      <c r="J292" s="1" t="str">
        <f>VLOOKUP(BUDGET!K292,IE!$A$2:$C$132,3,FALSE)</f>
        <v>Internal Transfer</v>
      </c>
      <c r="K292" s="24">
        <v>905</v>
      </c>
      <c r="L292" s="1" t="s">
        <v>148</v>
      </c>
      <c r="M292" s="22">
        <v>15000</v>
      </c>
      <c r="N292" s="22"/>
      <c r="O292" s="1" t="s">
        <v>455</v>
      </c>
    </row>
    <row r="293" spans="1:15">
      <c r="A293" s="6">
        <v>20</v>
      </c>
      <c r="B293" s="1" t="s">
        <v>257</v>
      </c>
      <c r="C293" s="6">
        <v>520</v>
      </c>
      <c r="D293" s="1" t="s">
        <v>266</v>
      </c>
      <c r="E293" s="12" t="s">
        <v>56</v>
      </c>
      <c r="F293" s="1" t="s">
        <v>267</v>
      </c>
      <c r="G293" s="1" t="s">
        <v>12</v>
      </c>
      <c r="I293" s="6">
        <v>113</v>
      </c>
      <c r="J293" s="1" t="str">
        <f>VLOOKUP(BUDGET!K293,IE!$A$2:$C$132,3,FALSE)</f>
        <v>Fees &amp; Charges</v>
      </c>
      <c r="K293" s="24">
        <v>132</v>
      </c>
      <c r="L293" s="1" t="s">
        <v>268</v>
      </c>
      <c r="M293" s="20">
        <v>-35000</v>
      </c>
      <c r="N293" s="20"/>
    </row>
    <row r="294" spans="1:15">
      <c r="A294" s="6">
        <v>20</v>
      </c>
      <c r="B294" s="1" t="s">
        <v>257</v>
      </c>
      <c r="C294" s="6">
        <v>520</v>
      </c>
      <c r="D294" s="1" t="s">
        <v>266</v>
      </c>
      <c r="E294" s="12" t="s">
        <v>56</v>
      </c>
      <c r="F294" s="1" t="s">
        <v>267</v>
      </c>
      <c r="G294" s="1" t="s">
        <v>12</v>
      </c>
      <c r="I294" s="6">
        <v>121</v>
      </c>
      <c r="J294" s="1" t="str">
        <f>VLOOKUP(BUDGET!K294,IE!$A$2:$C$132,3,FALSE)</f>
        <v>Sales Revenue</v>
      </c>
      <c r="K294" s="24">
        <v>161</v>
      </c>
      <c r="L294" s="1" t="s">
        <v>269</v>
      </c>
      <c r="M294" s="20">
        <v>-330000</v>
      </c>
      <c r="N294" s="20"/>
    </row>
    <row r="295" spans="1:15">
      <c r="A295" s="6">
        <v>20</v>
      </c>
      <c r="B295" s="1" t="s">
        <v>257</v>
      </c>
      <c r="C295" s="6">
        <v>520</v>
      </c>
      <c r="D295" s="1" t="s">
        <v>266</v>
      </c>
      <c r="E295" s="12" t="s">
        <v>56</v>
      </c>
      <c r="F295" s="1" t="s">
        <v>267</v>
      </c>
      <c r="G295" s="1" t="s">
        <v>12</v>
      </c>
      <c r="I295" s="6">
        <v>121</v>
      </c>
      <c r="J295" s="1" t="str">
        <f>VLOOKUP(BUDGET!K295,IE!$A$2:$C$132,3,FALSE)</f>
        <v>Other Income</v>
      </c>
      <c r="K295" s="24">
        <v>171</v>
      </c>
      <c r="L295" s="1" t="s">
        <v>270</v>
      </c>
      <c r="M295" s="20">
        <v>-3000</v>
      </c>
      <c r="N295" s="20"/>
    </row>
    <row r="296" spans="1:15">
      <c r="A296" s="6">
        <v>20</v>
      </c>
      <c r="B296" s="1" t="s">
        <v>257</v>
      </c>
      <c r="C296" s="6">
        <v>520</v>
      </c>
      <c r="D296" s="1" t="s">
        <v>266</v>
      </c>
      <c r="E296" s="12" t="s">
        <v>57</v>
      </c>
      <c r="G296" s="6">
        <v>520</v>
      </c>
      <c r="H296" s="1" t="s">
        <v>271</v>
      </c>
      <c r="I296" s="6">
        <v>211</v>
      </c>
      <c r="J296" s="1" t="str">
        <f>VLOOKUP(BUDGET!K296,IE!$A$2:$C$132,3,FALSE)</f>
        <v>Costs of Goods</v>
      </c>
      <c r="K296" s="24">
        <v>280</v>
      </c>
      <c r="L296" s="1" t="s">
        <v>272</v>
      </c>
      <c r="M296" s="22">
        <v>580000</v>
      </c>
      <c r="N296" s="22"/>
    </row>
    <row r="297" spans="1:15">
      <c r="A297" s="6">
        <v>20</v>
      </c>
      <c r="B297" s="1" t="s">
        <v>257</v>
      </c>
      <c r="C297" s="6">
        <v>520</v>
      </c>
      <c r="D297" s="1" t="s">
        <v>266</v>
      </c>
      <c r="E297" s="12" t="s">
        <v>57</v>
      </c>
      <c r="G297" s="6">
        <v>520</v>
      </c>
      <c r="H297" s="1" t="s">
        <v>271</v>
      </c>
      <c r="I297" s="6">
        <v>211</v>
      </c>
      <c r="J297" s="1" t="str">
        <f>VLOOKUP(BUDGET!K297,IE!$A$2:$C$132,3,FALSE)</f>
        <v>Costs of Goods</v>
      </c>
      <c r="K297" s="24">
        <v>281</v>
      </c>
      <c r="L297" s="1" t="s">
        <v>273</v>
      </c>
      <c r="M297" s="22">
        <v>25000</v>
      </c>
      <c r="N297" s="22"/>
    </row>
    <row r="298" spans="1:15">
      <c r="A298" s="6">
        <v>20</v>
      </c>
      <c r="B298" s="1" t="s">
        <v>257</v>
      </c>
      <c r="C298" s="6">
        <v>520</v>
      </c>
      <c r="D298" s="1" t="s">
        <v>266</v>
      </c>
      <c r="E298" s="12" t="s">
        <v>57</v>
      </c>
      <c r="G298" s="6">
        <v>520</v>
      </c>
      <c r="H298" s="1" t="s">
        <v>271</v>
      </c>
      <c r="I298" s="6">
        <v>250</v>
      </c>
      <c r="J298" s="1" t="str">
        <f>VLOOKUP(BUDGET!K298,IE!$A$2:$C$132,3,FALSE)</f>
        <v>Materials &amp; Services</v>
      </c>
      <c r="K298" s="24">
        <v>335</v>
      </c>
      <c r="L298" s="1" t="s">
        <v>110</v>
      </c>
      <c r="M298" s="22">
        <v>6000</v>
      </c>
      <c r="N298" s="22"/>
    </row>
    <row r="299" spans="1:15">
      <c r="A299" s="6">
        <v>20</v>
      </c>
      <c r="B299" s="1" t="s">
        <v>257</v>
      </c>
      <c r="C299" s="6">
        <v>520</v>
      </c>
      <c r="D299" s="1" t="s">
        <v>266</v>
      </c>
      <c r="E299" s="12" t="s">
        <v>57</v>
      </c>
      <c r="G299" s="6">
        <v>520</v>
      </c>
      <c r="H299" s="1" t="s">
        <v>271</v>
      </c>
      <c r="I299" s="6">
        <v>250</v>
      </c>
      <c r="J299" s="1" t="str">
        <f>VLOOKUP(BUDGET!K299,IE!$A$2:$C$132,3,FALSE)</f>
        <v>Materials &amp; Services</v>
      </c>
      <c r="K299" s="24">
        <v>339</v>
      </c>
      <c r="L299" s="1" t="s">
        <v>274</v>
      </c>
      <c r="M299" s="22">
        <v>1400</v>
      </c>
      <c r="N299" s="22"/>
    </row>
    <row r="300" spans="1:15">
      <c r="A300" s="6">
        <v>20</v>
      </c>
      <c r="B300" s="1" t="s">
        <v>257</v>
      </c>
      <c r="C300" s="6">
        <v>520</v>
      </c>
      <c r="D300" s="1" t="s">
        <v>266</v>
      </c>
      <c r="E300" s="12" t="s">
        <v>57</v>
      </c>
      <c r="G300" s="6">
        <v>520</v>
      </c>
      <c r="H300" s="1" t="s">
        <v>271</v>
      </c>
      <c r="I300" s="6">
        <v>250</v>
      </c>
      <c r="J300" s="1" t="str">
        <f>VLOOKUP(BUDGET!K300,IE!$A$2:$C$132,3,FALSE)</f>
        <v>Materials &amp; Services</v>
      </c>
      <c r="K300" s="24">
        <v>350</v>
      </c>
      <c r="L300" s="1" t="s">
        <v>121</v>
      </c>
      <c r="M300" s="22">
        <v>300</v>
      </c>
      <c r="N300" s="22"/>
    </row>
    <row r="301" spans="1:15">
      <c r="A301" s="6">
        <v>20</v>
      </c>
      <c r="B301" s="1" t="s">
        <v>257</v>
      </c>
      <c r="C301" s="6">
        <v>520</v>
      </c>
      <c r="D301" s="1" t="s">
        <v>266</v>
      </c>
      <c r="E301" s="12" t="s">
        <v>57</v>
      </c>
      <c r="G301" s="6">
        <v>520</v>
      </c>
      <c r="H301" s="1" t="s">
        <v>271</v>
      </c>
      <c r="I301" s="6">
        <v>250</v>
      </c>
      <c r="J301" s="1" t="str">
        <f>VLOOKUP(BUDGET!K301,IE!$A$2:$C$132,3,FALSE)</f>
        <v>Materials &amp; Services</v>
      </c>
      <c r="K301" s="24">
        <v>366</v>
      </c>
      <c r="L301" s="1" t="s">
        <v>142</v>
      </c>
      <c r="M301" s="22">
        <v>500</v>
      </c>
      <c r="N301" s="22"/>
    </row>
    <row r="302" spans="1:15">
      <c r="A302" s="6">
        <v>20</v>
      </c>
      <c r="B302" s="1" t="s">
        <v>257</v>
      </c>
      <c r="C302" s="6">
        <v>520</v>
      </c>
      <c r="D302" s="1" t="s">
        <v>266</v>
      </c>
      <c r="E302" s="12" t="s">
        <v>57</v>
      </c>
      <c r="G302" s="6">
        <v>520</v>
      </c>
      <c r="H302" s="1" t="s">
        <v>271</v>
      </c>
      <c r="I302" s="6">
        <v>250</v>
      </c>
      <c r="J302" s="1" t="str">
        <f>VLOOKUP(BUDGET!K302,IE!$A$2:$C$132,3,FALSE)</f>
        <v>Materials &amp; Services</v>
      </c>
      <c r="K302" s="24">
        <v>367</v>
      </c>
      <c r="L302" s="1" t="s">
        <v>174</v>
      </c>
      <c r="M302" s="22">
        <v>200</v>
      </c>
      <c r="N302" s="22"/>
    </row>
    <row r="303" spans="1:15">
      <c r="A303" s="6">
        <v>20</v>
      </c>
      <c r="B303" s="1" t="s">
        <v>257</v>
      </c>
      <c r="C303" s="6">
        <v>520</v>
      </c>
      <c r="D303" s="1" t="s">
        <v>266</v>
      </c>
      <c r="E303" s="12" t="s">
        <v>57</v>
      </c>
      <c r="G303" s="6">
        <v>520</v>
      </c>
      <c r="H303" s="1" t="s">
        <v>271</v>
      </c>
      <c r="I303" s="6">
        <v>250</v>
      </c>
      <c r="J303" s="1" t="str">
        <f>VLOOKUP(BUDGET!K303,IE!$A$2:$C$132,3,FALSE)</f>
        <v>Materials &amp; Services</v>
      </c>
      <c r="K303" s="24">
        <v>369</v>
      </c>
      <c r="L303" s="1" t="s">
        <v>123</v>
      </c>
      <c r="M303" s="22">
        <v>400</v>
      </c>
      <c r="N303" s="22"/>
    </row>
    <row r="304" spans="1:15">
      <c r="A304" s="6">
        <v>20</v>
      </c>
      <c r="B304" s="1" t="s">
        <v>257</v>
      </c>
      <c r="C304" s="6">
        <v>520</v>
      </c>
      <c r="D304" s="1" t="s">
        <v>266</v>
      </c>
      <c r="E304" s="12" t="s">
        <v>57</v>
      </c>
      <c r="G304" s="6">
        <v>520</v>
      </c>
      <c r="H304" s="1" t="s">
        <v>271</v>
      </c>
      <c r="I304" s="6">
        <v>254</v>
      </c>
      <c r="J304" s="1" t="str">
        <f>VLOOKUP(BUDGET!K304,IE!$A$2:$C$132,3,FALSE)</f>
        <v>Materials &amp; Services</v>
      </c>
      <c r="K304" s="24">
        <v>321</v>
      </c>
      <c r="L304" s="1" t="s">
        <v>191</v>
      </c>
      <c r="M304" s="22">
        <v>1500</v>
      </c>
      <c r="N304" s="22"/>
    </row>
    <row r="305" spans="1:15">
      <c r="A305" s="6">
        <v>20</v>
      </c>
      <c r="B305" s="1" t="s">
        <v>257</v>
      </c>
      <c r="C305" s="6">
        <v>520</v>
      </c>
      <c r="D305" s="1" t="s">
        <v>266</v>
      </c>
      <c r="E305" s="12" t="s">
        <v>57</v>
      </c>
      <c r="G305" s="6">
        <v>520</v>
      </c>
      <c r="H305" s="1" t="s">
        <v>271</v>
      </c>
      <c r="I305" s="6">
        <v>272</v>
      </c>
      <c r="J305" s="1" t="str">
        <f>VLOOKUP(BUDGET!K305,IE!$A$2:$C$132,3,FALSE)</f>
        <v>Property Expenses</v>
      </c>
      <c r="K305" s="24">
        <v>382</v>
      </c>
      <c r="L305" s="1" t="s">
        <v>144</v>
      </c>
      <c r="M305" s="22">
        <v>8500</v>
      </c>
      <c r="N305" s="22"/>
    </row>
    <row r="306" spans="1:15">
      <c r="A306" s="6">
        <v>20</v>
      </c>
      <c r="B306" s="1" t="s">
        <v>257</v>
      </c>
      <c r="C306" s="6">
        <v>520</v>
      </c>
      <c r="D306" s="1" t="s">
        <v>266</v>
      </c>
      <c r="E306" s="12" t="s">
        <v>57</v>
      </c>
      <c r="G306" s="6">
        <v>520</v>
      </c>
      <c r="H306" s="1" t="s">
        <v>271</v>
      </c>
      <c r="I306" s="6">
        <v>278</v>
      </c>
      <c r="J306" s="1" t="str">
        <f>VLOOKUP(BUDGET!K306,IE!$A$2:$C$132,3,FALSE)</f>
        <v>Materials &amp; Services</v>
      </c>
      <c r="K306" s="24">
        <v>353</v>
      </c>
      <c r="L306" s="1" t="s">
        <v>112</v>
      </c>
      <c r="M306" s="22">
        <v>3000</v>
      </c>
      <c r="N306" s="22"/>
    </row>
    <row r="307" spans="1:15">
      <c r="A307" s="6">
        <v>20</v>
      </c>
      <c r="B307" s="1" t="s">
        <v>257</v>
      </c>
      <c r="C307" s="6">
        <v>520</v>
      </c>
      <c r="D307" s="1" t="s">
        <v>266</v>
      </c>
      <c r="E307" s="12" t="s">
        <v>57</v>
      </c>
      <c r="G307" s="6">
        <v>520</v>
      </c>
      <c r="H307" s="1" t="s">
        <v>271</v>
      </c>
      <c r="I307" s="6">
        <v>278</v>
      </c>
      <c r="J307" s="1" t="str">
        <f>VLOOKUP(BUDGET!K307,IE!$A$2:$C$132,3,FALSE)</f>
        <v>Materials &amp; Services</v>
      </c>
      <c r="K307" s="24">
        <v>356</v>
      </c>
      <c r="L307" s="1" t="s">
        <v>160</v>
      </c>
      <c r="M307" s="22">
        <v>150</v>
      </c>
      <c r="N307" s="22"/>
    </row>
    <row r="308" spans="1:15">
      <c r="A308" s="6">
        <v>20</v>
      </c>
      <c r="B308" s="1" t="s">
        <v>257</v>
      </c>
      <c r="C308" s="6">
        <v>520</v>
      </c>
      <c r="D308" s="1" t="s">
        <v>266</v>
      </c>
      <c r="E308" s="12" t="s">
        <v>57</v>
      </c>
      <c r="G308" s="6">
        <v>520</v>
      </c>
      <c r="H308" s="1" t="s">
        <v>271</v>
      </c>
      <c r="I308" s="6">
        <v>900</v>
      </c>
      <c r="J308" s="1" t="str">
        <f>VLOOKUP(BUDGET!K308,IE!$A$2:$C$132,3,FALSE)</f>
        <v>Internal Transfer</v>
      </c>
      <c r="K308" s="24">
        <v>902</v>
      </c>
      <c r="L308" s="1" t="s">
        <v>200</v>
      </c>
      <c r="M308" s="21">
        <f>-M278+-M290+-M380</f>
        <v>-5500</v>
      </c>
      <c r="N308" s="21"/>
    </row>
    <row r="309" spans="1:15" ht="12.75" customHeight="1">
      <c r="A309" s="6">
        <v>20</v>
      </c>
      <c r="B309" s="1" t="s">
        <v>257</v>
      </c>
      <c r="C309" s="6">
        <v>520</v>
      </c>
      <c r="D309" s="1" t="s">
        <v>266</v>
      </c>
      <c r="E309" s="12" t="s">
        <v>57</v>
      </c>
      <c r="G309" s="6">
        <v>520</v>
      </c>
      <c r="H309" s="1" t="s">
        <v>271</v>
      </c>
      <c r="I309" s="6">
        <v>900</v>
      </c>
      <c r="J309" s="1" t="str">
        <f>VLOOKUP(BUDGET!K309,IE!$A$2:$C$132,3,FALSE)</f>
        <v>Internal Transfer</v>
      </c>
      <c r="K309" s="24">
        <v>904</v>
      </c>
      <c r="L309" s="1" t="s">
        <v>161</v>
      </c>
      <c r="M309" s="21">
        <f>-M78+-M101+-M129+-M159+-M218+-M257+-M280+-M427+-M459+-M486+-M509+-M530+-M546+-M576+-M597+-M360+-M409</f>
        <v>-113000</v>
      </c>
      <c r="N309" s="21"/>
    </row>
    <row r="310" spans="1:15">
      <c r="A310" s="6">
        <v>20</v>
      </c>
      <c r="B310" s="1" t="s">
        <v>257</v>
      </c>
      <c r="C310" s="6">
        <v>520</v>
      </c>
      <c r="D310" s="1" t="s">
        <v>266</v>
      </c>
      <c r="E310" s="12" t="s">
        <v>57</v>
      </c>
      <c r="G310" s="6">
        <v>520</v>
      </c>
      <c r="H310" s="1" t="s">
        <v>271</v>
      </c>
      <c r="I310" s="6">
        <v>900</v>
      </c>
      <c r="J310" s="1" t="str">
        <f>VLOOKUP(BUDGET!K310,IE!$A$2:$C$132,3,FALSE)</f>
        <v>Internal Transfer</v>
      </c>
      <c r="K310" s="24">
        <v>905</v>
      </c>
      <c r="L310" s="1" t="s">
        <v>148</v>
      </c>
      <c r="M310" s="22">
        <v>1000</v>
      </c>
      <c r="N310" s="22"/>
    </row>
    <row r="311" spans="1:15">
      <c r="A311" s="6">
        <v>30</v>
      </c>
      <c r="B311" s="1" t="s">
        <v>286</v>
      </c>
      <c r="C311" s="6">
        <v>526</v>
      </c>
      <c r="D311" s="1" t="s">
        <v>276</v>
      </c>
      <c r="E311" s="12" t="s">
        <v>58</v>
      </c>
      <c r="F311" s="1" t="s">
        <v>277</v>
      </c>
      <c r="G311" s="1" t="s">
        <v>12</v>
      </c>
      <c r="I311" s="6">
        <v>110</v>
      </c>
      <c r="J311" s="1" t="str">
        <f>VLOOKUP(BUDGET!K311,IE!$A$2:$C$132,3,FALSE)</f>
        <v>Fees &amp; Charges</v>
      </c>
      <c r="K311" s="24">
        <v>112</v>
      </c>
      <c r="L311" s="1" t="s">
        <v>278</v>
      </c>
      <c r="M311" s="20">
        <v>-55000</v>
      </c>
      <c r="N311" s="20"/>
    </row>
    <row r="312" spans="1:15">
      <c r="A312" s="6">
        <v>30</v>
      </c>
      <c r="B312" s="1" t="s">
        <v>286</v>
      </c>
      <c r="C312" s="6">
        <v>526</v>
      </c>
      <c r="D312" s="1" t="s">
        <v>276</v>
      </c>
      <c r="E312" s="12" t="s">
        <v>58</v>
      </c>
      <c r="F312" s="1" t="s">
        <v>277</v>
      </c>
      <c r="G312" s="1" t="s">
        <v>12</v>
      </c>
      <c r="I312" s="6">
        <v>110</v>
      </c>
      <c r="J312" s="1" t="str">
        <f>VLOOKUP(BUDGET!K312,IE!$A$2:$C$132,3,FALSE)</f>
        <v>Fees &amp; Charges</v>
      </c>
      <c r="K312" s="24">
        <v>113</v>
      </c>
      <c r="L312" s="1" t="s">
        <v>242</v>
      </c>
      <c r="M312" s="22">
        <v>27500</v>
      </c>
      <c r="N312" s="22"/>
      <c r="O312" s="1" t="s">
        <v>457</v>
      </c>
    </row>
    <row r="313" spans="1:15">
      <c r="A313" s="6">
        <v>30</v>
      </c>
      <c r="B313" s="1" t="s">
        <v>286</v>
      </c>
      <c r="C313" s="6">
        <v>526</v>
      </c>
      <c r="D313" s="1" t="s">
        <v>276</v>
      </c>
      <c r="E313" s="12" t="s">
        <v>59</v>
      </c>
      <c r="G313" s="6">
        <v>526</v>
      </c>
      <c r="H313" s="1" t="s">
        <v>276</v>
      </c>
      <c r="I313" s="6">
        <v>250</v>
      </c>
      <c r="J313" s="1" t="str">
        <f>VLOOKUP(BUDGET!K313,IE!$A$2:$C$132,3,FALSE)</f>
        <v>Materials &amp; Services</v>
      </c>
      <c r="K313" s="24">
        <v>319</v>
      </c>
      <c r="L313" s="1" t="s">
        <v>167</v>
      </c>
      <c r="M313" s="22">
        <v>1000</v>
      </c>
      <c r="N313" s="22"/>
    </row>
    <row r="314" spans="1:15">
      <c r="A314" s="6">
        <v>30</v>
      </c>
      <c r="B314" s="1" t="s">
        <v>286</v>
      </c>
      <c r="C314" s="6">
        <v>526</v>
      </c>
      <c r="D314" s="1" t="s">
        <v>276</v>
      </c>
      <c r="E314" s="12" t="s">
        <v>59</v>
      </c>
      <c r="G314" s="6">
        <v>526</v>
      </c>
      <c r="H314" s="1" t="s">
        <v>276</v>
      </c>
      <c r="I314" s="6">
        <v>250</v>
      </c>
      <c r="J314" s="1" t="str">
        <f>VLOOKUP(BUDGET!K314,IE!$A$2:$C$132,3,FALSE)</f>
        <v>Materials &amp; Services</v>
      </c>
      <c r="K314" s="24">
        <v>335</v>
      </c>
      <c r="L314" s="1" t="s">
        <v>110</v>
      </c>
      <c r="M314" s="22">
        <v>1200</v>
      </c>
      <c r="N314" s="22"/>
    </row>
    <row r="315" spans="1:15">
      <c r="A315" s="6">
        <v>30</v>
      </c>
      <c r="B315" s="1" t="s">
        <v>286</v>
      </c>
      <c r="C315" s="6">
        <v>526</v>
      </c>
      <c r="D315" s="1" t="s">
        <v>276</v>
      </c>
      <c r="E315" s="12" t="s">
        <v>59</v>
      </c>
      <c r="G315" s="6">
        <v>526</v>
      </c>
      <c r="H315" s="1" t="s">
        <v>276</v>
      </c>
      <c r="I315" s="6">
        <v>250</v>
      </c>
      <c r="J315" s="1" t="str">
        <f>VLOOKUP(BUDGET!K315,IE!$A$2:$C$132,3,FALSE)</f>
        <v>Materials &amp; Services</v>
      </c>
      <c r="K315" s="24">
        <v>358</v>
      </c>
      <c r="L315" s="1" t="s">
        <v>111</v>
      </c>
      <c r="M315" s="22">
        <v>2500</v>
      </c>
      <c r="N315" s="22"/>
    </row>
    <row r="316" spans="1:15">
      <c r="A316" s="6">
        <v>30</v>
      </c>
      <c r="B316" s="1" t="s">
        <v>286</v>
      </c>
      <c r="C316" s="6">
        <v>526</v>
      </c>
      <c r="D316" s="1" t="s">
        <v>276</v>
      </c>
      <c r="E316" s="12" t="s">
        <v>59</v>
      </c>
      <c r="G316" s="6">
        <v>526</v>
      </c>
      <c r="H316" s="1" t="s">
        <v>276</v>
      </c>
      <c r="I316" s="6">
        <v>272</v>
      </c>
      <c r="J316" s="1" t="str">
        <f>VLOOKUP(BUDGET!K316,IE!$A$2:$C$132,3,FALSE)</f>
        <v>Property Expenses</v>
      </c>
      <c r="K316" s="24">
        <v>380</v>
      </c>
      <c r="L316" s="1" t="s">
        <v>127</v>
      </c>
      <c r="M316" s="22">
        <v>2500</v>
      </c>
      <c r="N316" s="22"/>
    </row>
    <row r="317" spans="1:15">
      <c r="A317" s="6">
        <v>30</v>
      </c>
      <c r="B317" s="1" t="s">
        <v>286</v>
      </c>
      <c r="C317" s="6">
        <v>526</v>
      </c>
      <c r="D317" s="1" t="s">
        <v>276</v>
      </c>
      <c r="E317" s="12" t="s">
        <v>59</v>
      </c>
      <c r="G317" s="6">
        <v>526</v>
      </c>
      <c r="H317" s="1" t="s">
        <v>276</v>
      </c>
      <c r="I317" s="6">
        <v>278</v>
      </c>
      <c r="J317" s="1" t="str">
        <f>VLOOKUP(BUDGET!K317,IE!$A$2:$C$132,3,FALSE)</f>
        <v>Materials &amp; Services</v>
      </c>
      <c r="K317" s="24">
        <v>353</v>
      </c>
      <c r="L317" s="1" t="s">
        <v>112</v>
      </c>
      <c r="M317" s="22">
        <v>2500</v>
      </c>
      <c r="N317" s="22"/>
    </row>
    <row r="318" spans="1:15">
      <c r="A318" s="6">
        <v>30</v>
      </c>
      <c r="B318" s="1" t="s">
        <v>286</v>
      </c>
      <c r="C318" s="6">
        <v>526</v>
      </c>
      <c r="D318" s="1" t="s">
        <v>276</v>
      </c>
      <c r="E318" s="12" t="s">
        <v>59</v>
      </c>
      <c r="G318" s="6">
        <v>526</v>
      </c>
      <c r="H318" s="1" t="s">
        <v>276</v>
      </c>
      <c r="I318" s="6">
        <v>900</v>
      </c>
      <c r="J318" s="1" t="str">
        <f>VLOOKUP(BUDGET!K318,IE!$A$2:$C$132,3,FALSE)</f>
        <v>Internal Transfer</v>
      </c>
      <c r="K318" s="24">
        <v>905</v>
      </c>
      <c r="L318" s="1" t="s">
        <v>148</v>
      </c>
      <c r="M318" s="22">
        <v>2500</v>
      </c>
      <c r="N318" s="22"/>
    </row>
    <row r="319" spans="1:15">
      <c r="A319" s="6">
        <v>20</v>
      </c>
      <c r="B319" s="1" t="s">
        <v>257</v>
      </c>
      <c r="C319" s="6">
        <v>530</v>
      </c>
      <c r="D319" s="1" t="s">
        <v>280</v>
      </c>
      <c r="E319" s="12" t="s">
        <v>60</v>
      </c>
      <c r="F319" s="1" t="s">
        <v>281</v>
      </c>
      <c r="G319" s="1" t="s">
        <v>12</v>
      </c>
      <c r="I319" s="6">
        <v>114</v>
      </c>
      <c r="J319" s="1" t="str">
        <f>VLOOKUP(BUDGET!K319,IE!$A$2:$C$132,3,FALSE)</f>
        <v>Rental Income</v>
      </c>
      <c r="K319" s="24">
        <v>141</v>
      </c>
      <c r="L319" s="1" t="s">
        <v>282</v>
      </c>
      <c r="M319" s="20">
        <v>-200000</v>
      </c>
      <c r="N319" s="20"/>
    </row>
    <row r="320" spans="1:15">
      <c r="A320" s="6">
        <v>20</v>
      </c>
      <c r="B320" s="1" t="s">
        <v>257</v>
      </c>
      <c r="C320" s="6">
        <v>530</v>
      </c>
      <c r="D320" s="1" t="s">
        <v>280</v>
      </c>
      <c r="E320" s="12" t="s">
        <v>61</v>
      </c>
      <c r="G320" s="6">
        <v>530</v>
      </c>
      <c r="H320" s="1" t="s">
        <v>284</v>
      </c>
      <c r="I320" s="6">
        <v>250</v>
      </c>
      <c r="J320" s="1" t="str">
        <f>VLOOKUP(BUDGET!K320,IE!$A$2:$C$132,3,FALSE)</f>
        <v>Materials &amp; Services</v>
      </c>
      <c r="K320" s="24">
        <v>351</v>
      </c>
      <c r="L320" s="1" t="s">
        <v>223</v>
      </c>
      <c r="M320" s="22">
        <v>10000</v>
      </c>
      <c r="N320" s="22"/>
    </row>
    <row r="321" spans="1:16">
      <c r="A321" s="6">
        <v>20</v>
      </c>
      <c r="B321" s="1" t="s">
        <v>257</v>
      </c>
      <c r="C321" s="6">
        <v>530</v>
      </c>
      <c r="D321" s="1" t="s">
        <v>280</v>
      </c>
      <c r="E321" s="12" t="s">
        <v>61</v>
      </c>
      <c r="G321" s="6">
        <v>530</v>
      </c>
      <c r="H321" s="1" t="s">
        <v>284</v>
      </c>
      <c r="I321" s="6">
        <v>272</v>
      </c>
      <c r="J321" s="1" t="str">
        <f>VLOOKUP(BUDGET!K321,IE!$A$2:$C$132,3,FALSE)</f>
        <v>Property Expenses</v>
      </c>
      <c r="K321" s="24">
        <v>380</v>
      </c>
      <c r="L321" s="1" t="s">
        <v>127</v>
      </c>
      <c r="M321" s="22">
        <v>25000</v>
      </c>
      <c r="N321" s="22"/>
    </row>
    <row r="322" spans="1:16">
      <c r="A322" s="6">
        <v>20</v>
      </c>
      <c r="B322" s="1" t="s">
        <v>257</v>
      </c>
      <c r="C322" s="6">
        <v>530</v>
      </c>
      <c r="D322" s="1" t="s">
        <v>280</v>
      </c>
      <c r="E322" s="12" t="s">
        <v>61</v>
      </c>
      <c r="G322" s="6">
        <v>530</v>
      </c>
      <c r="H322" s="1" t="s">
        <v>284</v>
      </c>
      <c r="I322" s="6">
        <v>900</v>
      </c>
      <c r="J322" s="1" t="str">
        <f>VLOOKUP(BUDGET!K322,IE!$A$2:$C$132,3,FALSE)</f>
        <v>Internal Transfer</v>
      </c>
      <c r="K322" s="24">
        <v>905</v>
      </c>
      <c r="L322" s="1" t="s">
        <v>148</v>
      </c>
      <c r="M322" s="22">
        <v>15000</v>
      </c>
      <c r="N322" s="22"/>
    </row>
    <row r="323" spans="1:16">
      <c r="A323" s="6">
        <v>30</v>
      </c>
      <c r="B323" s="1" t="s">
        <v>286</v>
      </c>
      <c r="C323" s="6">
        <v>650</v>
      </c>
      <c r="D323" s="1" t="s">
        <v>287</v>
      </c>
      <c r="E323" s="12" t="s">
        <v>62</v>
      </c>
      <c r="F323" s="1" t="s">
        <v>288</v>
      </c>
      <c r="G323" s="1" t="s">
        <v>12</v>
      </c>
      <c r="I323" s="6">
        <v>110</v>
      </c>
      <c r="J323" s="1" t="str">
        <f>VLOOKUP(BUDGET!K323,IE!$A$2:$C$132,3,FALSE)</f>
        <v>Fees &amp; Charges</v>
      </c>
      <c r="K323" s="24">
        <v>113</v>
      </c>
      <c r="L323" s="1" t="s">
        <v>242</v>
      </c>
      <c r="M323" s="17"/>
      <c r="N323" s="17"/>
    </row>
    <row r="324" spans="1:16">
      <c r="A324" s="6">
        <v>30</v>
      </c>
      <c r="B324" s="1" t="s">
        <v>286</v>
      </c>
      <c r="C324" s="6">
        <v>650</v>
      </c>
      <c r="D324" s="1" t="s">
        <v>287</v>
      </c>
      <c r="E324" s="12" t="s">
        <v>62</v>
      </c>
      <c r="F324" s="1" t="s">
        <v>288</v>
      </c>
      <c r="G324" s="1" t="s">
        <v>12</v>
      </c>
      <c r="I324" s="6">
        <v>113</v>
      </c>
      <c r="J324" s="1" t="str">
        <f>VLOOKUP(BUDGET!K324,IE!$A$2:$C$132,3,FALSE)</f>
        <v>Other Income</v>
      </c>
      <c r="K324" s="24">
        <v>194</v>
      </c>
      <c r="L324" s="1" t="s">
        <v>289</v>
      </c>
      <c r="M324" s="20">
        <v>-25000</v>
      </c>
      <c r="N324" s="20"/>
      <c r="O324" s="1" t="s">
        <v>458</v>
      </c>
    </row>
    <row r="325" spans="1:16">
      <c r="A325" s="6">
        <v>30</v>
      </c>
      <c r="B325" s="1" t="s">
        <v>286</v>
      </c>
      <c r="C325" s="6">
        <v>650</v>
      </c>
      <c r="D325" s="1" t="s">
        <v>287</v>
      </c>
      <c r="E325" s="12" t="s">
        <v>62</v>
      </c>
      <c r="F325" s="1" t="s">
        <v>288</v>
      </c>
      <c r="G325" s="1" t="s">
        <v>12</v>
      </c>
      <c r="I325" s="6">
        <v>123</v>
      </c>
      <c r="J325" s="1" t="str">
        <f>VLOOKUP(BUDGET!K325,IE!$A$2:$C$132,3,FALSE)</f>
        <v>Grants, Subsidies, Contributions &amp; Donations</v>
      </c>
      <c r="K325" s="24">
        <v>186</v>
      </c>
      <c r="L325" s="1" t="s">
        <v>115</v>
      </c>
      <c r="M325" s="20">
        <v>-5000</v>
      </c>
      <c r="N325" s="20"/>
    </row>
    <row r="326" spans="1:16">
      <c r="A326" s="6">
        <v>30</v>
      </c>
      <c r="B326" s="1" t="s">
        <v>286</v>
      </c>
      <c r="C326" s="6">
        <v>650</v>
      </c>
      <c r="D326" s="1" t="s">
        <v>287</v>
      </c>
      <c r="E326" s="12" t="s">
        <v>63</v>
      </c>
      <c r="G326" s="6">
        <v>650</v>
      </c>
      <c r="H326" s="1" t="s">
        <v>290</v>
      </c>
      <c r="I326" s="6">
        <v>250</v>
      </c>
      <c r="J326" s="1" t="str">
        <f>VLOOKUP(BUDGET!K326,IE!$A$2:$C$132,3,FALSE)</f>
        <v>Materials &amp; Services</v>
      </c>
      <c r="K326" s="24">
        <v>335</v>
      </c>
      <c r="L326" s="1" t="s">
        <v>110</v>
      </c>
      <c r="M326" s="22">
        <v>1500</v>
      </c>
      <c r="N326" s="22"/>
    </row>
    <row r="327" spans="1:16">
      <c r="A327" s="6">
        <v>30</v>
      </c>
      <c r="B327" s="1" t="s">
        <v>286</v>
      </c>
      <c r="C327" s="6">
        <v>650</v>
      </c>
      <c r="D327" s="1" t="s">
        <v>287</v>
      </c>
      <c r="E327" s="12" t="s">
        <v>63</v>
      </c>
      <c r="G327" s="6">
        <v>650</v>
      </c>
      <c r="H327" s="1" t="s">
        <v>290</v>
      </c>
      <c r="I327" s="6">
        <v>250</v>
      </c>
      <c r="J327" s="1" t="str">
        <f>VLOOKUP(BUDGET!K327,IE!$A$2:$C$132,3,FALSE)</f>
        <v>Materials &amp; Services</v>
      </c>
      <c r="K327" s="24">
        <v>358</v>
      </c>
      <c r="L327" s="1" t="s">
        <v>111</v>
      </c>
      <c r="M327" s="22">
        <v>5000</v>
      </c>
      <c r="N327" s="22"/>
    </row>
    <row r="328" spans="1:16">
      <c r="A328" s="6">
        <v>30</v>
      </c>
      <c r="B328" s="1" t="s">
        <v>286</v>
      </c>
      <c r="C328" s="6">
        <v>650</v>
      </c>
      <c r="D328" s="1" t="s">
        <v>287</v>
      </c>
      <c r="E328" s="12" t="s">
        <v>63</v>
      </c>
      <c r="G328" s="6">
        <v>650</v>
      </c>
      <c r="H328" s="1" t="s">
        <v>290</v>
      </c>
      <c r="I328" s="6">
        <v>250</v>
      </c>
      <c r="J328" s="1" t="str">
        <f>VLOOKUP(BUDGET!K328,IE!$A$2:$C$132,3,FALSE)</f>
        <v>Materials &amp; Services</v>
      </c>
      <c r="K328" s="24">
        <v>364</v>
      </c>
      <c r="L328" s="1" t="s">
        <v>141</v>
      </c>
      <c r="M328" s="22">
        <v>2500</v>
      </c>
      <c r="N328" s="22"/>
    </row>
    <row r="329" spans="1:16">
      <c r="A329" s="6">
        <v>30</v>
      </c>
      <c r="B329" s="1" t="s">
        <v>286</v>
      </c>
      <c r="C329" s="6">
        <v>650</v>
      </c>
      <c r="D329" s="1" t="s">
        <v>287</v>
      </c>
      <c r="E329" s="12" t="s">
        <v>63</v>
      </c>
      <c r="G329" s="6">
        <v>650</v>
      </c>
      <c r="H329" s="1" t="s">
        <v>290</v>
      </c>
      <c r="I329" s="6">
        <v>250</v>
      </c>
      <c r="J329" s="1" t="str">
        <f>VLOOKUP(BUDGET!K329,IE!$A$2:$C$132,3,FALSE)</f>
        <v>Materials &amp; Services</v>
      </c>
      <c r="K329" s="24">
        <v>371</v>
      </c>
      <c r="L329" s="1" t="s">
        <v>156</v>
      </c>
      <c r="M329" s="22">
        <v>1500</v>
      </c>
      <c r="N329" s="22"/>
    </row>
    <row r="330" spans="1:16">
      <c r="A330" s="6">
        <v>30</v>
      </c>
      <c r="B330" s="1" t="s">
        <v>286</v>
      </c>
      <c r="C330" s="6">
        <v>650</v>
      </c>
      <c r="D330" s="1" t="s">
        <v>287</v>
      </c>
      <c r="E330" s="12" t="s">
        <v>63</v>
      </c>
      <c r="G330" s="6">
        <v>650</v>
      </c>
      <c r="H330" s="1" t="s">
        <v>290</v>
      </c>
      <c r="I330" s="6">
        <v>275</v>
      </c>
      <c r="J330" s="1" t="str">
        <f>VLOOKUP(BUDGET!K330,IE!$A$2:$C$132,3,FALSE)</f>
        <v>Materials &amp; Services</v>
      </c>
      <c r="K330" s="24">
        <v>373</v>
      </c>
      <c r="L330" s="1" t="s">
        <v>124</v>
      </c>
      <c r="M330" s="22">
        <v>2000</v>
      </c>
      <c r="N330" s="22"/>
    </row>
    <row r="331" spans="1:16">
      <c r="A331" s="6">
        <v>30</v>
      </c>
      <c r="B331" s="1" t="s">
        <v>286</v>
      </c>
      <c r="C331" s="6">
        <v>650</v>
      </c>
      <c r="D331" s="1" t="s">
        <v>287</v>
      </c>
      <c r="E331" s="12" t="s">
        <v>63</v>
      </c>
      <c r="G331" s="6">
        <v>650</v>
      </c>
      <c r="H331" s="1" t="s">
        <v>290</v>
      </c>
      <c r="I331" s="6">
        <v>278</v>
      </c>
      <c r="J331" s="1" t="str">
        <f>VLOOKUP(BUDGET!K331,IE!$A$2:$C$132,3,FALSE)</f>
        <v>Finance Costs</v>
      </c>
      <c r="K331" s="24">
        <v>396</v>
      </c>
      <c r="L331" s="1" t="s">
        <v>129</v>
      </c>
      <c r="M331" s="22">
        <v>2500</v>
      </c>
      <c r="N331" s="22"/>
    </row>
    <row r="332" spans="1:16">
      <c r="A332" s="6">
        <v>30</v>
      </c>
      <c r="B332" s="1" t="s">
        <v>286</v>
      </c>
      <c r="C332" s="6">
        <v>650</v>
      </c>
      <c r="D332" s="1" t="s">
        <v>287</v>
      </c>
      <c r="E332" s="12" t="s">
        <v>63</v>
      </c>
      <c r="G332" s="6">
        <v>650</v>
      </c>
      <c r="H332" s="1" t="s">
        <v>290</v>
      </c>
      <c r="I332" s="6">
        <v>810</v>
      </c>
      <c r="J332" s="1" t="str">
        <f>VLOOKUP(BUDGET!K332,IE!$A$2:$C$132,3,FALSE)</f>
        <v>Capital Expenses</v>
      </c>
      <c r="K332" s="24">
        <v>810</v>
      </c>
      <c r="L332" s="1" t="s">
        <v>182</v>
      </c>
      <c r="M332" s="22">
        <v>25000</v>
      </c>
      <c r="N332" s="22"/>
    </row>
    <row r="333" spans="1:16">
      <c r="A333" s="6">
        <v>30</v>
      </c>
      <c r="B333" s="1" t="s">
        <v>286</v>
      </c>
      <c r="C333" s="6">
        <v>650</v>
      </c>
      <c r="D333" s="1" t="s">
        <v>287</v>
      </c>
      <c r="E333" s="12" t="s">
        <v>63</v>
      </c>
      <c r="G333" s="6">
        <v>650</v>
      </c>
      <c r="H333" s="1" t="s">
        <v>290</v>
      </c>
      <c r="I333" s="6">
        <v>900</v>
      </c>
      <c r="J333" s="1" t="str">
        <f>VLOOKUP(BUDGET!K333,IE!$A$2:$C$132,3,FALSE)</f>
        <v>Internal Transfer</v>
      </c>
      <c r="K333" s="24">
        <v>910</v>
      </c>
      <c r="L333" s="1" t="s">
        <v>125</v>
      </c>
      <c r="M333" s="22">
        <f>-M359*75%</f>
        <v>-52129.5</v>
      </c>
      <c r="N333" s="22"/>
      <c r="O333" s="1" t="s">
        <v>473</v>
      </c>
    </row>
    <row r="334" spans="1:16">
      <c r="A334" s="6">
        <v>30</v>
      </c>
      <c r="B334" s="1" t="s">
        <v>286</v>
      </c>
      <c r="C334" s="6">
        <v>650</v>
      </c>
      <c r="D334" s="1" t="s">
        <v>287</v>
      </c>
      <c r="E334" s="12" t="s">
        <v>63</v>
      </c>
      <c r="G334" s="6">
        <v>650</v>
      </c>
      <c r="H334" s="1" t="s">
        <v>290</v>
      </c>
      <c r="I334" s="6">
        <v>900</v>
      </c>
      <c r="J334" s="1" t="str">
        <f>VLOOKUP(BUDGET!K334,IE!$A$2:$C$132,3,FALSE)</f>
        <v>Internal Transfer</v>
      </c>
      <c r="K334" s="24">
        <v>912</v>
      </c>
      <c r="L334" s="1" t="s">
        <v>285</v>
      </c>
      <c r="M334" s="17">
        <f>-M382+-M413</f>
        <v>-17500</v>
      </c>
      <c r="N334" s="17"/>
    </row>
    <row r="335" spans="1:16">
      <c r="A335" s="6">
        <v>30</v>
      </c>
      <c r="B335" s="1" t="s">
        <v>286</v>
      </c>
      <c r="C335" s="6">
        <v>652</v>
      </c>
      <c r="D335" s="1" t="s">
        <v>291</v>
      </c>
      <c r="E335" s="12" t="s">
        <v>64</v>
      </c>
      <c r="F335" s="1" t="s">
        <v>292</v>
      </c>
      <c r="G335" s="1" t="s">
        <v>12</v>
      </c>
      <c r="I335" s="6">
        <v>124</v>
      </c>
      <c r="J335" s="1" t="str">
        <f>VLOOKUP(BUDGET!K335,IE!$A$2:$C$132,3,FALSE)</f>
        <v>Grants, Subsidies, Contributions &amp; Donations</v>
      </c>
      <c r="K335" s="24">
        <v>181</v>
      </c>
      <c r="L335" s="1" t="s">
        <v>108</v>
      </c>
      <c r="M335" s="20">
        <v>-695060</v>
      </c>
      <c r="N335" s="20"/>
      <c r="O335" s="11">
        <v>-688060</v>
      </c>
      <c r="P335" s="1" t="s">
        <v>389</v>
      </c>
    </row>
    <row r="336" spans="1:16">
      <c r="A336" s="6">
        <v>30</v>
      </c>
      <c r="B336" s="1" t="s">
        <v>286</v>
      </c>
      <c r="C336" s="6">
        <v>652</v>
      </c>
      <c r="D336" s="1" t="s">
        <v>291</v>
      </c>
      <c r="E336" s="12" t="s">
        <v>65</v>
      </c>
      <c r="G336" s="6">
        <v>652</v>
      </c>
      <c r="H336" s="1" t="s">
        <v>293</v>
      </c>
      <c r="I336" s="6">
        <v>201</v>
      </c>
      <c r="J336" s="1" t="str">
        <f>VLOOKUP(BUDGET!K336,IE!$A$2:$C$132,3,FALSE)</f>
        <v>Salaries &amp; Wages</v>
      </c>
      <c r="K336" s="24">
        <v>210</v>
      </c>
      <c r="L336" s="1" t="s">
        <v>117</v>
      </c>
      <c r="M336" s="22">
        <v>388270</v>
      </c>
      <c r="N336" s="22"/>
      <c r="O336" s="1" t="s">
        <v>433</v>
      </c>
    </row>
    <row r="337" spans="1:15">
      <c r="A337" s="6">
        <v>30</v>
      </c>
      <c r="B337" s="1" t="s">
        <v>286</v>
      </c>
      <c r="C337" s="6">
        <v>652</v>
      </c>
      <c r="D337" s="1" t="s">
        <v>291</v>
      </c>
      <c r="E337" s="12" t="s">
        <v>65</v>
      </c>
      <c r="G337" s="6">
        <v>652</v>
      </c>
      <c r="H337" s="1" t="s">
        <v>293</v>
      </c>
      <c r="I337" s="6">
        <v>204</v>
      </c>
      <c r="J337" s="1" t="str">
        <f>VLOOKUP(BUDGET!K337,IE!$A$2:$C$132,3,FALSE)</f>
        <v>Salaries &amp; Wages</v>
      </c>
      <c r="K337" s="24">
        <v>240</v>
      </c>
      <c r="L337" s="1" t="s">
        <v>118</v>
      </c>
      <c r="M337" s="22">
        <f>M336*12%</f>
        <v>46592.4</v>
      </c>
      <c r="N337" s="22"/>
      <c r="O337" s="1" t="s">
        <v>418</v>
      </c>
    </row>
    <row r="338" spans="1:15">
      <c r="A338" s="6">
        <v>30</v>
      </c>
      <c r="B338" s="1" t="s">
        <v>286</v>
      </c>
      <c r="C338" s="6">
        <v>652</v>
      </c>
      <c r="D338" s="1" t="s">
        <v>291</v>
      </c>
      <c r="E338" s="12" t="s">
        <v>65</v>
      </c>
      <c r="G338" s="6">
        <v>652</v>
      </c>
      <c r="H338" s="1" t="s">
        <v>293</v>
      </c>
      <c r="I338" s="6">
        <v>205</v>
      </c>
      <c r="J338" s="1" t="str">
        <f>VLOOKUP(BUDGET!K338,IE!$A$2:$C$132,3,FALSE)</f>
        <v>Salaries &amp; Wages</v>
      </c>
      <c r="K338" s="24">
        <v>250</v>
      </c>
      <c r="L338" s="1" t="s">
        <v>186</v>
      </c>
      <c r="M338" s="22">
        <v>4000</v>
      </c>
      <c r="N338" s="22"/>
    </row>
    <row r="339" spans="1:15">
      <c r="A339" s="6">
        <v>30</v>
      </c>
      <c r="B339" s="1" t="s">
        <v>286</v>
      </c>
      <c r="C339" s="6">
        <v>652</v>
      </c>
      <c r="D339" s="1" t="s">
        <v>291</v>
      </c>
      <c r="E339" s="12" t="s">
        <v>65</v>
      </c>
      <c r="G339" s="6">
        <v>652</v>
      </c>
      <c r="H339" s="1" t="s">
        <v>293</v>
      </c>
      <c r="I339" s="6">
        <v>205</v>
      </c>
      <c r="J339" s="1" t="str">
        <f>VLOOKUP(BUDGET!K339,IE!$A$2:$C$132,3,FALSE)</f>
        <v>Salaries &amp; Wages</v>
      </c>
      <c r="K339" s="24">
        <v>256</v>
      </c>
      <c r="L339" s="1" t="s">
        <v>119</v>
      </c>
      <c r="M339" s="22">
        <f>(M336+M337)*1.5%</f>
        <v>6522.9359999999997</v>
      </c>
      <c r="N339" s="22"/>
    </row>
    <row r="340" spans="1:15">
      <c r="A340" s="6">
        <v>30</v>
      </c>
      <c r="B340" s="1" t="s">
        <v>286</v>
      </c>
      <c r="C340" s="6">
        <v>652</v>
      </c>
      <c r="D340" s="1" t="s">
        <v>291</v>
      </c>
      <c r="E340" s="12" t="s">
        <v>65</v>
      </c>
      <c r="G340" s="6">
        <v>652</v>
      </c>
      <c r="H340" s="1" t="s">
        <v>293</v>
      </c>
      <c r="I340" s="6">
        <v>278</v>
      </c>
      <c r="J340" s="1" t="str">
        <f>VLOOKUP(BUDGET!K340,IE!$A$2:$C$132,3,FALSE)</f>
        <v>Materials &amp; Services</v>
      </c>
      <c r="K340" s="24">
        <v>353</v>
      </c>
      <c r="L340" s="1" t="s">
        <v>112</v>
      </c>
      <c r="M340" s="22">
        <v>48269</v>
      </c>
      <c r="N340" s="22"/>
    </row>
    <row r="341" spans="1:15">
      <c r="A341" s="6">
        <v>30</v>
      </c>
      <c r="B341" s="1" t="s">
        <v>286</v>
      </c>
      <c r="C341" s="6">
        <v>652</v>
      </c>
      <c r="D341" s="1" t="s">
        <v>291</v>
      </c>
      <c r="E341" s="12" t="s">
        <v>65</v>
      </c>
      <c r="F341" s="1" t="s">
        <v>294</v>
      </c>
      <c r="G341" s="1" t="s">
        <v>12</v>
      </c>
      <c r="I341" s="6">
        <v>810</v>
      </c>
      <c r="J341" s="1" t="str">
        <f>VLOOKUP(BUDGET!K341,IE!$A$2:$C$132,3,FALSE)</f>
        <v>Capital Expenses</v>
      </c>
      <c r="K341" s="24">
        <v>810</v>
      </c>
      <c r="L341" s="1" t="s">
        <v>182</v>
      </c>
      <c r="M341" s="22">
        <v>19900</v>
      </c>
      <c r="N341" s="22"/>
      <c r="O341" s="1" t="s">
        <v>419</v>
      </c>
    </row>
    <row r="342" spans="1:15">
      <c r="A342" s="6">
        <v>30</v>
      </c>
      <c r="B342" s="1" t="s">
        <v>286</v>
      </c>
      <c r="C342" s="6">
        <v>652</v>
      </c>
      <c r="D342" s="1" t="s">
        <v>291</v>
      </c>
      <c r="E342" s="12" t="s">
        <v>65</v>
      </c>
      <c r="G342" s="1" t="s">
        <v>66</v>
      </c>
      <c r="H342" s="1" t="s">
        <v>295</v>
      </c>
      <c r="I342" s="6">
        <v>205</v>
      </c>
      <c r="J342" s="1" t="str">
        <f>VLOOKUP(BUDGET!K342,IE!$A$2:$C$132,3,FALSE)</f>
        <v>Salaries &amp; Wages</v>
      </c>
      <c r="K342" s="24">
        <v>252</v>
      </c>
      <c r="L342" s="1" t="s">
        <v>180</v>
      </c>
      <c r="M342" s="22">
        <v>20000</v>
      </c>
      <c r="N342" s="22"/>
    </row>
    <row r="343" spans="1:15">
      <c r="A343" s="6">
        <v>30</v>
      </c>
      <c r="B343" s="1" t="s">
        <v>286</v>
      </c>
      <c r="C343" s="6">
        <v>652</v>
      </c>
      <c r="D343" s="1" t="s">
        <v>291</v>
      </c>
      <c r="E343" s="12">
        <v>65230</v>
      </c>
      <c r="I343" s="6"/>
      <c r="J343" s="1" t="str">
        <f>VLOOKUP(BUDGET!K343,IE!$A$2:$C$132,3,FALSE)</f>
        <v>Materials &amp; Services</v>
      </c>
      <c r="K343" s="24">
        <v>371</v>
      </c>
      <c r="L343" s="1" t="s">
        <v>156</v>
      </c>
      <c r="M343" s="22">
        <v>5000</v>
      </c>
      <c r="N343" s="22"/>
    </row>
    <row r="344" spans="1:15">
      <c r="A344" s="6">
        <v>30</v>
      </c>
      <c r="B344" s="1" t="s">
        <v>286</v>
      </c>
      <c r="C344" s="6">
        <v>652</v>
      </c>
      <c r="D344" s="1" t="s">
        <v>291</v>
      </c>
      <c r="E344" s="12">
        <v>65230</v>
      </c>
      <c r="I344" s="6"/>
      <c r="J344" s="1" t="str">
        <f>VLOOKUP(BUDGET!K344,IE!$A$2:$C$132,3,FALSE)</f>
        <v>Materials &amp; Services</v>
      </c>
      <c r="K344" s="24">
        <v>366</v>
      </c>
      <c r="L344" s="1" t="s">
        <v>142</v>
      </c>
      <c r="M344" s="22">
        <v>3000</v>
      </c>
      <c r="N344" s="22"/>
    </row>
    <row r="345" spans="1:15">
      <c r="A345" s="6">
        <v>30</v>
      </c>
      <c r="B345" s="1" t="s">
        <v>286</v>
      </c>
      <c r="C345" s="6">
        <v>652</v>
      </c>
      <c r="D345" s="1" t="s">
        <v>291</v>
      </c>
      <c r="E345" s="12" t="s">
        <v>65</v>
      </c>
      <c r="G345" s="1" t="s">
        <v>66</v>
      </c>
      <c r="H345" s="1" t="s">
        <v>295</v>
      </c>
      <c r="I345" s="6">
        <v>205</v>
      </c>
      <c r="J345" s="1" t="str">
        <f>VLOOKUP(BUDGET!K345,IE!$A$2:$C$132,3,FALSE)</f>
        <v>Salaries &amp; Wages</v>
      </c>
      <c r="K345" s="24">
        <v>253</v>
      </c>
      <c r="L345" s="1" t="s">
        <v>136</v>
      </c>
      <c r="M345" s="22">
        <v>10000</v>
      </c>
      <c r="N345" s="22"/>
    </row>
    <row r="346" spans="1:15">
      <c r="A346" s="6">
        <v>30</v>
      </c>
      <c r="B346" s="1" t="s">
        <v>286</v>
      </c>
      <c r="C346" s="6">
        <v>652</v>
      </c>
      <c r="D346" s="1" t="s">
        <v>291</v>
      </c>
      <c r="E346" s="12" t="s">
        <v>65</v>
      </c>
      <c r="I346" s="6"/>
      <c r="J346" s="1" t="str">
        <f>VLOOKUP(BUDGET!K346,IE!$A$2:$C$132,3,FALSE)</f>
        <v>Motor Vehicle Expenses</v>
      </c>
      <c r="K346" s="24">
        <v>394</v>
      </c>
      <c r="L346" s="1" t="s">
        <v>158</v>
      </c>
      <c r="M346" s="22">
        <v>2000</v>
      </c>
      <c r="N346" s="22"/>
    </row>
    <row r="347" spans="1:15">
      <c r="A347" s="6">
        <v>30</v>
      </c>
      <c r="B347" s="1" t="s">
        <v>286</v>
      </c>
      <c r="C347" s="6">
        <v>652</v>
      </c>
      <c r="D347" s="1" t="s">
        <v>291</v>
      </c>
      <c r="E347" s="12" t="s">
        <v>65</v>
      </c>
      <c r="I347" s="6"/>
      <c r="J347" s="1" t="str">
        <f>VLOOKUP(BUDGET!K347,IE!$A$2:$C$132,3,FALSE)</f>
        <v>Motor Vehicle Expenses</v>
      </c>
      <c r="K347" s="24">
        <v>389</v>
      </c>
      <c r="L347" s="1" t="s">
        <v>299</v>
      </c>
      <c r="M347" s="22">
        <v>2500</v>
      </c>
      <c r="N347" s="22"/>
    </row>
    <row r="348" spans="1:15">
      <c r="A348" s="6">
        <v>30</v>
      </c>
      <c r="B348" s="1" t="s">
        <v>286</v>
      </c>
      <c r="C348" s="6">
        <v>652</v>
      </c>
      <c r="D348" s="1" t="s">
        <v>291</v>
      </c>
      <c r="E348" s="12" t="s">
        <v>65</v>
      </c>
      <c r="I348" s="6"/>
      <c r="J348" s="1" t="str">
        <f>VLOOKUP(BUDGET!K348,IE!$A$2:$C$132,3,FALSE)</f>
        <v>Motor Vehicle Expenses</v>
      </c>
      <c r="K348" s="24">
        <v>392</v>
      </c>
      <c r="L348" s="1" t="s">
        <v>181</v>
      </c>
      <c r="M348" s="22">
        <v>2000</v>
      </c>
      <c r="N348" s="22"/>
    </row>
    <row r="349" spans="1:15">
      <c r="A349" s="6">
        <v>30</v>
      </c>
      <c r="B349" s="1" t="s">
        <v>286</v>
      </c>
      <c r="C349" s="6">
        <v>652</v>
      </c>
      <c r="D349" s="1" t="s">
        <v>291</v>
      </c>
      <c r="E349" s="12" t="s">
        <v>65</v>
      </c>
      <c r="I349" s="6"/>
      <c r="J349" s="1" t="str">
        <f>VLOOKUP(BUDGET!K349,IE!$A$2:$C$132,3,FALSE)</f>
        <v>Motor Vehicle Expenses</v>
      </c>
      <c r="K349" s="24">
        <v>395</v>
      </c>
      <c r="L349" s="1" t="s">
        <v>420</v>
      </c>
      <c r="M349" s="22">
        <v>8500</v>
      </c>
      <c r="N349" s="22"/>
    </row>
    <row r="350" spans="1:15">
      <c r="A350" s="6">
        <v>30</v>
      </c>
      <c r="B350" s="1" t="s">
        <v>286</v>
      </c>
      <c r="C350" s="6">
        <v>652</v>
      </c>
      <c r="D350" s="1" t="s">
        <v>291</v>
      </c>
      <c r="E350" s="12" t="s">
        <v>65</v>
      </c>
      <c r="I350" s="6"/>
      <c r="J350" s="1" t="str">
        <f>VLOOKUP(BUDGET!K350,IE!$A$2:$C$132,3,FALSE)</f>
        <v>Materials &amp; Services</v>
      </c>
      <c r="K350" s="24">
        <v>333</v>
      </c>
      <c r="L350" s="1" t="s">
        <v>169</v>
      </c>
      <c r="M350" s="22">
        <v>8500</v>
      </c>
      <c r="N350" s="22"/>
    </row>
    <row r="351" spans="1:15">
      <c r="A351" s="6">
        <v>30</v>
      </c>
      <c r="B351" s="1" t="s">
        <v>286</v>
      </c>
      <c r="C351" s="6">
        <v>652</v>
      </c>
      <c r="D351" s="1" t="s">
        <v>291</v>
      </c>
      <c r="E351" s="12" t="s">
        <v>65</v>
      </c>
      <c r="I351" s="6"/>
      <c r="J351" s="1" t="str">
        <f>VLOOKUP(BUDGET!K351,IE!$A$2:$C$132,3,FALSE)</f>
        <v>Materials &amp; Services</v>
      </c>
      <c r="K351" s="24">
        <v>350</v>
      </c>
      <c r="L351" s="1" t="s">
        <v>121</v>
      </c>
      <c r="M351" s="22">
        <v>3500</v>
      </c>
      <c r="N351" s="22"/>
    </row>
    <row r="352" spans="1:15">
      <c r="A352" s="6">
        <v>30</v>
      </c>
      <c r="B352" s="1" t="s">
        <v>286</v>
      </c>
      <c r="C352" s="6">
        <v>652</v>
      </c>
      <c r="D352" s="1" t="s">
        <v>291</v>
      </c>
      <c r="E352" s="12" t="s">
        <v>65</v>
      </c>
      <c r="G352" s="1" t="s">
        <v>67</v>
      </c>
      <c r="H352" s="1" t="s">
        <v>296</v>
      </c>
      <c r="I352" s="6">
        <v>250</v>
      </c>
      <c r="J352" s="1" t="str">
        <f>VLOOKUP(BUDGET!K352,IE!$A$2:$C$132,3,FALSE)</f>
        <v>Materials &amp; Services</v>
      </c>
      <c r="K352" s="24">
        <v>335</v>
      </c>
      <c r="L352" s="1" t="s">
        <v>110</v>
      </c>
      <c r="M352" s="22">
        <v>2500</v>
      </c>
      <c r="N352" s="22"/>
    </row>
    <row r="353" spans="1:15">
      <c r="A353" s="6">
        <v>30</v>
      </c>
      <c r="B353" s="1" t="s">
        <v>286</v>
      </c>
      <c r="C353" s="6">
        <v>652</v>
      </c>
      <c r="D353" s="1" t="s">
        <v>291</v>
      </c>
      <c r="E353" s="12" t="s">
        <v>65</v>
      </c>
      <c r="G353" s="1" t="s">
        <v>67</v>
      </c>
      <c r="H353" s="1" t="s">
        <v>296</v>
      </c>
      <c r="I353" s="6">
        <v>250</v>
      </c>
      <c r="J353" s="1" t="str">
        <f>VLOOKUP(BUDGET!K353,IE!$A$2:$C$132,3,FALSE)</f>
        <v>Materials &amp; Services</v>
      </c>
      <c r="K353" s="24">
        <v>339</v>
      </c>
      <c r="L353" s="1" t="s">
        <v>274</v>
      </c>
      <c r="M353" s="22">
        <v>1000</v>
      </c>
      <c r="N353" s="22"/>
    </row>
    <row r="354" spans="1:15">
      <c r="A354" s="6">
        <v>30</v>
      </c>
      <c r="B354" s="1" t="s">
        <v>286</v>
      </c>
      <c r="C354" s="6">
        <v>652</v>
      </c>
      <c r="D354" s="1" t="s">
        <v>291</v>
      </c>
      <c r="E354" s="12" t="s">
        <v>65</v>
      </c>
      <c r="G354" s="1" t="s">
        <v>67</v>
      </c>
      <c r="H354" s="1" t="s">
        <v>296</v>
      </c>
      <c r="I354" s="6">
        <v>250</v>
      </c>
      <c r="J354" s="1" t="str">
        <f>VLOOKUP(BUDGET!K354,IE!$A$2:$C$132,3,FALSE)</f>
        <v>Materials &amp; Services</v>
      </c>
      <c r="K354" s="24">
        <v>358</v>
      </c>
      <c r="L354" s="1" t="s">
        <v>111</v>
      </c>
      <c r="M354" s="22">
        <v>5000</v>
      </c>
      <c r="N354" s="22"/>
    </row>
    <row r="355" spans="1:15">
      <c r="A355" s="6">
        <v>30</v>
      </c>
      <c r="B355" s="1" t="s">
        <v>286</v>
      </c>
      <c r="C355" s="6">
        <v>652</v>
      </c>
      <c r="D355" s="1" t="s">
        <v>291</v>
      </c>
      <c r="E355" s="12" t="s">
        <v>65</v>
      </c>
      <c r="G355" s="1" t="s">
        <v>67</v>
      </c>
      <c r="H355" s="1" t="s">
        <v>296</v>
      </c>
      <c r="I355" s="6">
        <v>250</v>
      </c>
      <c r="J355" s="1" t="str">
        <f>VLOOKUP(BUDGET!K355,IE!$A$2:$C$132,3,FALSE)</f>
        <v>Materials &amp; Services</v>
      </c>
      <c r="K355" s="24">
        <v>367</v>
      </c>
      <c r="L355" s="1" t="s">
        <v>174</v>
      </c>
      <c r="M355" s="22">
        <v>2500</v>
      </c>
      <c r="N355" s="22"/>
    </row>
    <row r="356" spans="1:15">
      <c r="A356" s="6">
        <v>30</v>
      </c>
      <c r="B356" s="1" t="s">
        <v>286</v>
      </c>
      <c r="C356" s="6">
        <v>652</v>
      </c>
      <c r="D356" s="1" t="s">
        <v>291</v>
      </c>
      <c r="E356" s="12" t="s">
        <v>65</v>
      </c>
      <c r="G356" s="1" t="s">
        <v>67</v>
      </c>
      <c r="H356" s="1" t="s">
        <v>296</v>
      </c>
      <c r="I356" s="6">
        <v>255</v>
      </c>
      <c r="J356" s="1" t="str">
        <f>VLOOKUP(BUDGET!K356,IE!$A$2:$C$132,3,FALSE)</f>
        <v>Materials &amp; Services</v>
      </c>
      <c r="K356" s="24">
        <v>325</v>
      </c>
      <c r="L356" s="1" t="s">
        <v>168</v>
      </c>
      <c r="M356" s="22">
        <v>9500</v>
      </c>
      <c r="N356" s="22"/>
    </row>
    <row r="357" spans="1:15">
      <c r="A357" s="6">
        <v>30</v>
      </c>
      <c r="B357" s="1" t="s">
        <v>286</v>
      </c>
      <c r="C357" s="6">
        <v>652</v>
      </c>
      <c r="D357" s="1" t="s">
        <v>291</v>
      </c>
      <c r="E357" s="12" t="s">
        <v>65</v>
      </c>
      <c r="G357" s="1" t="s">
        <v>68</v>
      </c>
      <c r="H357" s="1" t="s">
        <v>297</v>
      </c>
      <c r="I357" s="6">
        <v>205</v>
      </c>
      <c r="J357" s="1" t="str">
        <f>VLOOKUP(BUDGET!K357,IE!$A$2:$C$132,3,FALSE)</f>
        <v>Salaries &amp; Wages</v>
      </c>
      <c r="K357" s="24">
        <v>255</v>
      </c>
      <c r="L357" s="1" t="s">
        <v>138</v>
      </c>
      <c r="M357" s="22">
        <v>5000</v>
      </c>
      <c r="N357" s="22"/>
    </row>
    <row r="358" spans="1:15">
      <c r="A358" s="6">
        <v>30</v>
      </c>
      <c r="B358" s="1" t="s">
        <v>286</v>
      </c>
      <c r="C358" s="6">
        <v>652</v>
      </c>
      <c r="D358" s="1" t="s">
        <v>291</v>
      </c>
      <c r="E358" s="12">
        <v>65230</v>
      </c>
      <c r="I358" s="6"/>
      <c r="J358" s="1" t="str">
        <f>VLOOKUP(BUDGET!K358,IE!$A$2:$C$132,3,FALSE)</f>
        <v>Motor Vehicle Expenses</v>
      </c>
      <c r="K358" s="24">
        <v>390</v>
      </c>
      <c r="L358" s="1" t="s">
        <v>301</v>
      </c>
      <c r="M358" s="22">
        <v>1500</v>
      </c>
      <c r="N358" s="22"/>
    </row>
    <row r="359" spans="1:15">
      <c r="A359" s="6">
        <v>30</v>
      </c>
      <c r="B359" s="1" t="s">
        <v>286</v>
      </c>
      <c r="C359" s="6">
        <v>652</v>
      </c>
      <c r="D359" s="1" t="s">
        <v>291</v>
      </c>
      <c r="E359" s="12" t="s">
        <v>65</v>
      </c>
      <c r="G359" s="1" t="s">
        <v>69</v>
      </c>
      <c r="H359" s="1" t="s">
        <v>302</v>
      </c>
      <c r="I359" s="6">
        <v>900</v>
      </c>
      <c r="J359" s="1" t="str">
        <f>VLOOKUP(BUDGET!K359,IE!$A$2:$C$132,3,FALSE)</f>
        <v>Internal Transfer</v>
      </c>
      <c r="K359" s="24">
        <v>910</v>
      </c>
      <c r="L359" s="1" t="s">
        <v>125</v>
      </c>
      <c r="M359" s="22">
        <f>-M335*10%</f>
        <v>69506</v>
      </c>
      <c r="N359" s="22"/>
    </row>
    <row r="360" spans="1:15" ht="12.75" customHeight="1">
      <c r="A360" s="6">
        <v>30</v>
      </c>
      <c r="B360" s="1" t="s">
        <v>286</v>
      </c>
      <c r="C360" s="6">
        <v>652</v>
      </c>
      <c r="D360" s="1" t="s">
        <v>291</v>
      </c>
      <c r="E360" s="12" t="s">
        <v>65</v>
      </c>
      <c r="I360" s="6"/>
      <c r="J360" s="1" t="str">
        <f>VLOOKUP(BUDGET!K360,IE!$A$2:$C$132,3,FALSE)</f>
        <v>Internal Transfer</v>
      </c>
      <c r="K360" s="24">
        <v>904</v>
      </c>
      <c r="L360" s="1" t="s">
        <v>161</v>
      </c>
      <c r="M360" s="22">
        <v>20000</v>
      </c>
      <c r="N360" s="22"/>
    </row>
    <row r="361" spans="1:15">
      <c r="A361" s="6">
        <v>30</v>
      </c>
      <c r="B361" s="1" t="s">
        <v>286</v>
      </c>
      <c r="C361" s="6">
        <v>661</v>
      </c>
      <c r="D361" s="1" t="s">
        <v>362</v>
      </c>
      <c r="E361" s="12" t="s">
        <v>70</v>
      </c>
      <c r="F361" s="1" t="s">
        <v>303</v>
      </c>
      <c r="G361" s="1" t="s">
        <v>12</v>
      </c>
      <c r="I361" s="6">
        <v>124</v>
      </c>
      <c r="J361" s="1" t="str">
        <f>VLOOKUP(BUDGET!K361,IE!$A$2:$C$132,3,FALSE)</f>
        <v>Grants, Subsidies, Contributions &amp; Donations</v>
      </c>
      <c r="K361" s="24">
        <v>181</v>
      </c>
      <c r="L361" s="1" t="s">
        <v>108</v>
      </c>
      <c r="M361" s="20">
        <v>-51000</v>
      </c>
      <c r="N361" s="20"/>
    </row>
    <row r="362" spans="1:15">
      <c r="A362" s="6">
        <v>30</v>
      </c>
      <c r="B362" s="1" t="s">
        <v>286</v>
      </c>
      <c r="C362" s="6">
        <v>661</v>
      </c>
      <c r="D362" s="1" t="s">
        <v>362</v>
      </c>
      <c r="E362" s="12" t="s">
        <v>71</v>
      </c>
      <c r="G362" s="6">
        <v>661</v>
      </c>
      <c r="H362" s="1" t="s">
        <v>304</v>
      </c>
      <c r="I362" s="6">
        <v>255</v>
      </c>
      <c r="J362" s="1" t="str">
        <f>VLOOKUP(BUDGET!K362,IE!$A$2:$C$132,3,FALSE)</f>
        <v>Materials &amp; Services</v>
      </c>
      <c r="K362" s="24">
        <v>325</v>
      </c>
      <c r="L362" s="1" t="s">
        <v>168</v>
      </c>
      <c r="M362" s="22">
        <v>20000</v>
      </c>
      <c r="N362" s="22"/>
      <c r="O362" s="1" t="s">
        <v>410</v>
      </c>
    </row>
    <row r="363" spans="1:15">
      <c r="A363" s="6">
        <v>30</v>
      </c>
      <c r="B363" s="1" t="s">
        <v>286</v>
      </c>
      <c r="C363" s="6">
        <v>661</v>
      </c>
      <c r="D363" s="1" t="s">
        <v>362</v>
      </c>
      <c r="E363" s="12" t="s">
        <v>71</v>
      </c>
      <c r="G363" s="6">
        <v>661</v>
      </c>
      <c r="H363" s="1" t="s">
        <v>304</v>
      </c>
      <c r="I363" s="6">
        <v>268</v>
      </c>
      <c r="J363" s="1" t="str">
        <f>VLOOKUP(BUDGET!K363,IE!$A$2:$C$132,3,FALSE)</f>
        <v>Motor Vehicle Expenses</v>
      </c>
      <c r="K363" s="24">
        <v>395</v>
      </c>
      <c r="L363" s="1" t="s">
        <v>159</v>
      </c>
      <c r="M363" s="22">
        <v>2500</v>
      </c>
      <c r="N363" s="22"/>
      <c r="O363" s="1" t="s">
        <v>411</v>
      </c>
    </row>
    <row r="364" spans="1:15">
      <c r="A364" s="6">
        <v>30</v>
      </c>
      <c r="B364" s="1" t="s">
        <v>286</v>
      </c>
      <c r="C364" s="6">
        <v>661</v>
      </c>
      <c r="D364" s="1" t="s">
        <v>362</v>
      </c>
      <c r="E364" s="12" t="s">
        <v>71</v>
      </c>
      <c r="G364" s="6">
        <v>661</v>
      </c>
      <c r="H364" s="1" t="s">
        <v>304</v>
      </c>
      <c r="I364" s="6">
        <v>278</v>
      </c>
      <c r="J364" s="1" t="str">
        <f>VLOOKUP(BUDGET!K364,IE!$A$2:$C$132,3,FALSE)</f>
        <v>Materials &amp; Services</v>
      </c>
      <c r="K364" s="24">
        <v>353</v>
      </c>
      <c r="L364" s="1" t="s">
        <v>112</v>
      </c>
      <c r="M364" s="22">
        <v>26000</v>
      </c>
      <c r="N364" s="22"/>
      <c r="O364" s="1" t="s">
        <v>412</v>
      </c>
    </row>
    <row r="365" spans="1:15">
      <c r="A365" s="6">
        <v>30</v>
      </c>
      <c r="B365" s="1" t="s">
        <v>286</v>
      </c>
      <c r="C365" s="6">
        <v>661</v>
      </c>
      <c r="D365" s="1" t="s">
        <v>362</v>
      </c>
      <c r="E365" s="12">
        <v>66140</v>
      </c>
      <c r="G365" s="6">
        <v>661</v>
      </c>
      <c r="H365" s="1" t="s">
        <v>304</v>
      </c>
      <c r="I365" s="6"/>
      <c r="J365" s="1" t="s">
        <v>382</v>
      </c>
      <c r="K365" s="24">
        <v>373</v>
      </c>
      <c r="L365" s="1" t="s">
        <v>124</v>
      </c>
      <c r="M365" s="22">
        <v>2500</v>
      </c>
      <c r="N365" s="22"/>
    </row>
    <row r="366" spans="1:15">
      <c r="A366" s="6">
        <v>30</v>
      </c>
      <c r="B366" s="1" t="s">
        <v>286</v>
      </c>
      <c r="C366" s="6">
        <v>670</v>
      </c>
      <c r="D366" s="1" t="s">
        <v>363</v>
      </c>
      <c r="E366" s="12">
        <v>67010</v>
      </c>
      <c r="G366" s="6">
        <v>670</v>
      </c>
      <c r="H366" s="1" t="s">
        <v>305</v>
      </c>
      <c r="I366" s="6"/>
      <c r="J366" s="1" t="str">
        <f>VLOOKUP(BUDGET!K366,IE!$A$2:$C$132,3,FALSE)</f>
        <v>Other Income</v>
      </c>
      <c r="K366" s="24">
        <v>187</v>
      </c>
      <c r="L366" s="1" t="s">
        <v>481</v>
      </c>
      <c r="M366" s="20">
        <v>-100000</v>
      </c>
      <c r="N366" s="20"/>
      <c r="O366" s="1" t="s">
        <v>459</v>
      </c>
    </row>
    <row r="367" spans="1:15">
      <c r="A367" s="6">
        <v>30</v>
      </c>
      <c r="B367" s="1" t="s">
        <v>286</v>
      </c>
      <c r="C367" s="6">
        <v>670</v>
      </c>
      <c r="D367" s="1" t="s">
        <v>363</v>
      </c>
      <c r="E367" s="12" t="s">
        <v>72</v>
      </c>
      <c r="G367" s="6">
        <v>670</v>
      </c>
      <c r="H367" s="1" t="s">
        <v>305</v>
      </c>
      <c r="I367" s="6">
        <v>250</v>
      </c>
      <c r="J367" s="1" t="str">
        <f>VLOOKUP(BUDGET!K367,IE!$A$2:$C$132,3,FALSE)</f>
        <v>Materials &amp; Services</v>
      </c>
      <c r="K367" s="24">
        <v>317</v>
      </c>
      <c r="L367" s="1" t="s">
        <v>120</v>
      </c>
      <c r="M367" s="22">
        <v>800</v>
      </c>
      <c r="N367" s="22"/>
    </row>
    <row r="368" spans="1:15">
      <c r="A368" s="6">
        <v>30</v>
      </c>
      <c r="B368" s="1" t="s">
        <v>286</v>
      </c>
      <c r="C368" s="6">
        <v>670</v>
      </c>
      <c r="D368" s="1" t="s">
        <v>363</v>
      </c>
      <c r="E368" s="12" t="s">
        <v>72</v>
      </c>
      <c r="G368" s="6">
        <v>670</v>
      </c>
      <c r="H368" s="1" t="s">
        <v>305</v>
      </c>
      <c r="I368" s="6">
        <v>250</v>
      </c>
      <c r="J368" s="1" t="str">
        <f>VLOOKUP(BUDGET!K368,IE!$A$2:$C$132,3,FALSE)</f>
        <v>Materials &amp; Services</v>
      </c>
      <c r="K368" s="24">
        <v>335</v>
      </c>
      <c r="L368" s="1" t="s">
        <v>110</v>
      </c>
      <c r="M368" s="22">
        <v>500</v>
      </c>
      <c r="N368" s="22"/>
    </row>
    <row r="369" spans="1:15">
      <c r="A369" s="6">
        <v>30</v>
      </c>
      <c r="B369" s="1" t="s">
        <v>286</v>
      </c>
      <c r="C369" s="6">
        <v>670</v>
      </c>
      <c r="D369" s="1" t="s">
        <v>363</v>
      </c>
      <c r="E369" s="12" t="s">
        <v>72</v>
      </c>
      <c r="G369" s="6">
        <v>670</v>
      </c>
      <c r="H369" s="1" t="s">
        <v>305</v>
      </c>
      <c r="I369" s="6">
        <v>250</v>
      </c>
      <c r="J369" s="1" t="str">
        <f>VLOOKUP(BUDGET!K369,IE!$A$2:$C$132,3,FALSE)</f>
        <v>Materials &amp; Services</v>
      </c>
      <c r="K369" s="24">
        <v>351</v>
      </c>
      <c r="L369" s="1" t="s">
        <v>223</v>
      </c>
      <c r="M369" s="22">
        <v>3000</v>
      </c>
      <c r="N369" s="22"/>
    </row>
    <row r="370" spans="1:15">
      <c r="A370" s="6">
        <v>30</v>
      </c>
      <c r="B370" s="1" t="s">
        <v>286</v>
      </c>
      <c r="C370" s="6">
        <v>670</v>
      </c>
      <c r="D370" s="1" t="s">
        <v>363</v>
      </c>
      <c r="E370" s="12" t="s">
        <v>72</v>
      </c>
      <c r="G370" s="6">
        <v>670</v>
      </c>
      <c r="H370" s="1" t="s">
        <v>305</v>
      </c>
      <c r="I370" s="6">
        <v>254</v>
      </c>
      <c r="J370" s="1" t="str">
        <f>VLOOKUP(BUDGET!K370,IE!$A$2:$C$132,3,FALSE)</f>
        <v>Materials &amp; Services</v>
      </c>
      <c r="K370" s="24">
        <v>323</v>
      </c>
      <c r="L370" s="1" t="s">
        <v>183</v>
      </c>
      <c r="M370" s="22">
        <f>-M366*30%</f>
        <v>30000</v>
      </c>
      <c r="N370" s="22"/>
    </row>
    <row r="371" spans="1:15">
      <c r="A371" s="6">
        <v>30</v>
      </c>
      <c r="B371" s="1" t="s">
        <v>286</v>
      </c>
      <c r="C371" s="6">
        <v>670</v>
      </c>
      <c r="D371" s="1" t="s">
        <v>363</v>
      </c>
      <c r="E371" s="12" t="s">
        <v>72</v>
      </c>
      <c r="G371" s="6">
        <v>670</v>
      </c>
      <c r="H371" s="1" t="s">
        <v>305</v>
      </c>
      <c r="I371" s="6">
        <v>255</v>
      </c>
      <c r="J371" s="1" t="str">
        <f>VLOOKUP(BUDGET!K371,IE!$A$2:$C$132,3,FALSE)</f>
        <v>Materials &amp; Services</v>
      </c>
      <c r="K371" s="24">
        <v>325</v>
      </c>
      <c r="L371" s="1" t="s">
        <v>168</v>
      </c>
      <c r="M371" s="22">
        <v>15000</v>
      </c>
      <c r="N371" s="22"/>
      <c r="O371" s="1" t="s">
        <v>414</v>
      </c>
    </row>
    <row r="372" spans="1:15">
      <c r="A372" s="6">
        <v>30</v>
      </c>
      <c r="B372" s="1" t="s">
        <v>286</v>
      </c>
      <c r="C372" s="6">
        <v>670</v>
      </c>
      <c r="D372" s="1" t="s">
        <v>363</v>
      </c>
      <c r="E372" s="12" t="s">
        <v>72</v>
      </c>
      <c r="G372" s="6">
        <v>670</v>
      </c>
      <c r="H372" s="1" t="s">
        <v>305</v>
      </c>
      <c r="I372" s="6">
        <v>278</v>
      </c>
      <c r="J372" s="1" t="str">
        <f>VLOOKUP(BUDGET!K372,IE!$A$2:$C$132,3,FALSE)</f>
        <v>Materials &amp; Services</v>
      </c>
      <c r="K372" s="24">
        <v>353</v>
      </c>
      <c r="L372" s="1" t="s">
        <v>112</v>
      </c>
      <c r="M372" s="22">
        <v>1500</v>
      </c>
      <c r="N372" s="22"/>
    </row>
    <row r="373" spans="1:15">
      <c r="A373" s="6">
        <v>30</v>
      </c>
      <c r="B373" s="1" t="s">
        <v>286</v>
      </c>
      <c r="C373" s="6">
        <v>670</v>
      </c>
      <c r="D373" s="1" t="s">
        <v>363</v>
      </c>
      <c r="E373" s="12">
        <v>67030</v>
      </c>
      <c r="G373" s="6">
        <v>670</v>
      </c>
      <c r="H373" s="1" t="s">
        <v>305</v>
      </c>
      <c r="I373" s="6">
        <v>810</v>
      </c>
      <c r="J373" s="1" t="s">
        <v>383</v>
      </c>
      <c r="K373" s="24">
        <v>810</v>
      </c>
      <c r="L373" s="1" t="s">
        <v>182</v>
      </c>
      <c r="M373" s="22">
        <v>27000</v>
      </c>
      <c r="N373" s="22"/>
      <c r="O373" s="1" t="s">
        <v>585</v>
      </c>
    </row>
    <row r="374" spans="1:15">
      <c r="A374" s="6">
        <v>30</v>
      </c>
      <c r="B374" s="1" t="s">
        <v>286</v>
      </c>
      <c r="C374" s="6">
        <v>670</v>
      </c>
      <c r="D374" s="1" t="s">
        <v>363</v>
      </c>
      <c r="E374" s="12" t="s">
        <v>72</v>
      </c>
      <c r="G374" s="6">
        <v>670</v>
      </c>
      <c r="H374" s="1" t="s">
        <v>305</v>
      </c>
      <c r="I374" s="6">
        <v>900</v>
      </c>
      <c r="J374" s="1" t="str">
        <f>VLOOKUP(BUDGET!K374,IE!$A$2:$C$132,3,FALSE)</f>
        <v>Internal Transfer</v>
      </c>
      <c r="K374" s="24">
        <v>910</v>
      </c>
      <c r="L374" s="1" t="s">
        <v>125</v>
      </c>
      <c r="M374" s="22">
        <f>-M366*15%</f>
        <v>15000</v>
      </c>
      <c r="N374" s="22"/>
    </row>
    <row r="375" spans="1:15">
      <c r="A375" s="6">
        <v>50</v>
      </c>
      <c r="B375" s="1" t="s">
        <v>306</v>
      </c>
      <c r="C375" s="6">
        <v>700</v>
      </c>
      <c r="D375" s="1" t="s">
        <v>307</v>
      </c>
      <c r="E375" s="12" t="s">
        <v>73</v>
      </c>
      <c r="G375" s="1">
        <v>700</v>
      </c>
      <c r="H375" s="1" t="s">
        <v>307</v>
      </c>
      <c r="I375" s="6">
        <v>114</v>
      </c>
      <c r="J375" s="1" t="str">
        <f>VLOOKUP(BUDGET!K375,IE!$A$2:$C$132,3,FALSE)</f>
        <v>Rental Income</v>
      </c>
      <c r="K375" s="24">
        <v>143</v>
      </c>
      <c r="L375" s="1" t="s">
        <v>283</v>
      </c>
      <c r="M375" s="20">
        <v>-160000</v>
      </c>
      <c r="N375" s="20"/>
    </row>
    <row r="376" spans="1:15">
      <c r="A376" s="6">
        <v>50</v>
      </c>
      <c r="B376" s="1" t="s">
        <v>306</v>
      </c>
      <c r="C376" s="6">
        <v>700</v>
      </c>
      <c r="D376" s="1" t="s">
        <v>307</v>
      </c>
      <c r="E376" s="12" t="s">
        <v>74</v>
      </c>
      <c r="G376" s="6">
        <v>700</v>
      </c>
      <c r="H376" s="1" t="s">
        <v>307</v>
      </c>
      <c r="I376" s="6">
        <v>272</v>
      </c>
      <c r="J376" s="1" t="str">
        <f>VLOOKUP(BUDGET!K376,IE!$A$2:$C$132,3,FALSE)</f>
        <v>Property Expenses</v>
      </c>
      <c r="K376" s="24">
        <v>380</v>
      </c>
      <c r="L376" s="1" t="s">
        <v>127</v>
      </c>
      <c r="M376" s="22">
        <v>30000</v>
      </c>
      <c r="N376" s="22"/>
    </row>
    <row r="377" spans="1:15">
      <c r="A377" s="6">
        <v>50</v>
      </c>
      <c r="B377" s="1" t="s">
        <v>306</v>
      </c>
      <c r="C377" s="6">
        <v>700</v>
      </c>
      <c r="D377" s="1" t="s">
        <v>307</v>
      </c>
      <c r="E377" s="12" t="s">
        <v>74</v>
      </c>
      <c r="G377" s="6">
        <v>700</v>
      </c>
      <c r="H377" s="1" t="s">
        <v>307</v>
      </c>
      <c r="I377" s="6">
        <v>278</v>
      </c>
      <c r="J377" s="1" t="str">
        <f>VLOOKUP(BUDGET!K377,IE!$A$2:$C$132,3,FALSE)</f>
        <v>Materials &amp; Services</v>
      </c>
      <c r="K377" s="24">
        <v>353</v>
      </c>
      <c r="L377" s="1" t="s">
        <v>112</v>
      </c>
      <c r="M377" s="22">
        <v>15000</v>
      </c>
      <c r="N377" s="22"/>
    </row>
    <row r="378" spans="1:15">
      <c r="A378" s="6">
        <v>50</v>
      </c>
      <c r="B378" s="1" t="s">
        <v>306</v>
      </c>
      <c r="C378" s="6">
        <v>700</v>
      </c>
      <c r="D378" s="1" t="s">
        <v>307</v>
      </c>
      <c r="E378" s="12" t="s">
        <v>74</v>
      </c>
      <c r="G378" s="6">
        <v>700</v>
      </c>
      <c r="H378" s="1" t="s">
        <v>307</v>
      </c>
      <c r="I378" s="6">
        <v>278</v>
      </c>
      <c r="J378" s="1" t="str">
        <f>VLOOKUP(BUDGET!K378,IE!$A$2:$C$132,3,FALSE)</f>
        <v>Materials &amp; Services</v>
      </c>
      <c r="K378" s="24">
        <v>356</v>
      </c>
      <c r="L378" s="1" t="s">
        <v>160</v>
      </c>
      <c r="M378" s="22">
        <v>1200</v>
      </c>
      <c r="N378" s="22"/>
    </row>
    <row r="379" spans="1:15">
      <c r="A379" s="6">
        <v>50</v>
      </c>
      <c r="B379" s="1" t="s">
        <v>306</v>
      </c>
      <c r="C379" s="6">
        <v>700</v>
      </c>
      <c r="D379" s="1" t="s">
        <v>307</v>
      </c>
      <c r="E379" s="12" t="s">
        <v>74</v>
      </c>
      <c r="G379" s="6">
        <v>700</v>
      </c>
      <c r="H379" s="1" t="s">
        <v>307</v>
      </c>
      <c r="I379" s="6">
        <v>900</v>
      </c>
      <c r="J379" s="1" t="str">
        <f>VLOOKUP(BUDGET!K379,IE!$A$2:$C$132,3,FALSE)</f>
        <v>Internal Transfer</v>
      </c>
      <c r="K379" s="24">
        <v>901</v>
      </c>
      <c r="L379" s="1" t="s">
        <v>146</v>
      </c>
      <c r="M379" s="22">
        <v>160</v>
      </c>
      <c r="N379" s="22"/>
    </row>
    <row r="380" spans="1:15">
      <c r="A380" s="6">
        <v>50</v>
      </c>
      <c r="B380" s="1" t="s">
        <v>306</v>
      </c>
      <c r="C380" s="6">
        <v>700</v>
      </c>
      <c r="D380" s="1" t="s">
        <v>307</v>
      </c>
      <c r="E380" s="12" t="s">
        <v>74</v>
      </c>
      <c r="G380" s="6">
        <v>700</v>
      </c>
      <c r="H380" s="1" t="s">
        <v>307</v>
      </c>
      <c r="I380" s="6">
        <v>900</v>
      </c>
      <c r="J380" s="1" t="str">
        <f>VLOOKUP(BUDGET!K380,IE!$A$2:$C$132,3,FALSE)</f>
        <v>Internal Transfer</v>
      </c>
      <c r="K380" s="24">
        <v>902</v>
      </c>
      <c r="L380" s="1" t="s">
        <v>200</v>
      </c>
      <c r="M380" s="22">
        <v>1000</v>
      </c>
      <c r="N380" s="22"/>
    </row>
    <row r="381" spans="1:15">
      <c r="A381" s="6">
        <v>50</v>
      </c>
      <c r="B381" s="1" t="s">
        <v>306</v>
      </c>
      <c r="C381" s="6">
        <v>700</v>
      </c>
      <c r="D381" s="1" t="s">
        <v>307</v>
      </c>
      <c r="E381" s="12" t="s">
        <v>74</v>
      </c>
      <c r="G381" s="6">
        <v>700</v>
      </c>
      <c r="H381" s="1" t="s">
        <v>307</v>
      </c>
      <c r="I381" s="6">
        <v>900</v>
      </c>
      <c r="J381" s="1" t="str">
        <f>VLOOKUP(BUDGET!K381,IE!$A$2:$C$132,3,FALSE)</f>
        <v>Internal Transfer</v>
      </c>
      <c r="K381" s="24">
        <v>905</v>
      </c>
      <c r="L381" s="1" t="s">
        <v>148</v>
      </c>
      <c r="M381" s="22">
        <v>35000</v>
      </c>
      <c r="N381" s="22"/>
    </row>
    <row r="382" spans="1:15">
      <c r="A382" s="6">
        <v>50</v>
      </c>
      <c r="B382" s="1" t="s">
        <v>306</v>
      </c>
      <c r="C382" s="6">
        <v>700</v>
      </c>
      <c r="D382" s="1" t="s">
        <v>307</v>
      </c>
      <c r="E382" s="12" t="s">
        <v>74</v>
      </c>
      <c r="G382" s="6">
        <v>700</v>
      </c>
      <c r="H382" s="1" t="s">
        <v>307</v>
      </c>
      <c r="I382" s="6">
        <v>900</v>
      </c>
      <c r="J382" s="1" t="str">
        <f>VLOOKUP(BUDGET!K382,IE!$A$2:$C$132,3,FALSE)</f>
        <v>Internal Transfer</v>
      </c>
      <c r="K382" s="24">
        <v>912</v>
      </c>
      <c r="L382" s="1" t="s">
        <v>285</v>
      </c>
      <c r="M382" s="22">
        <v>2500</v>
      </c>
      <c r="N382" s="22"/>
    </row>
    <row r="383" spans="1:15">
      <c r="A383" s="6">
        <v>50</v>
      </c>
      <c r="B383" s="1" t="s">
        <v>306</v>
      </c>
      <c r="C383" s="6">
        <v>710</v>
      </c>
      <c r="D383" s="1" t="s">
        <v>308</v>
      </c>
      <c r="E383" s="12" t="s">
        <v>75</v>
      </c>
      <c r="I383" s="6">
        <v>116</v>
      </c>
      <c r="J383" s="1" t="str">
        <f>VLOOKUP(BUDGET!K383,IE!$A$2:$C$132,3,FALSE)</f>
        <v>Sales Revenue</v>
      </c>
      <c r="K383" s="24">
        <v>152</v>
      </c>
      <c r="L383" s="1" t="s">
        <v>309</v>
      </c>
      <c r="M383" s="20">
        <v>-2971380</v>
      </c>
      <c r="N383" s="20"/>
      <c r="O383" s="1" t="s">
        <v>415</v>
      </c>
    </row>
    <row r="384" spans="1:15">
      <c r="A384" s="6">
        <v>50</v>
      </c>
      <c r="B384" s="1" t="s">
        <v>306</v>
      </c>
      <c r="C384" s="6">
        <v>710</v>
      </c>
      <c r="D384" s="1" t="s">
        <v>308</v>
      </c>
      <c r="E384" s="12">
        <v>71030</v>
      </c>
      <c r="I384" s="6">
        <v>201</v>
      </c>
      <c r="J384" s="1" t="str">
        <f>VLOOKUP(BUDGET!K384,IE!$A$2:$C$132,3,FALSE)</f>
        <v>Salaries &amp; Wages</v>
      </c>
      <c r="K384" s="24">
        <v>210</v>
      </c>
      <c r="L384" s="1" t="s">
        <v>117</v>
      </c>
      <c r="M384" s="22">
        <v>329736</v>
      </c>
      <c r="N384" s="22"/>
      <c r="O384" s="1" t="s">
        <v>460</v>
      </c>
    </row>
    <row r="385" spans="1:15">
      <c r="A385" s="6">
        <v>50</v>
      </c>
      <c r="B385" s="1" t="s">
        <v>306</v>
      </c>
      <c r="C385" s="6">
        <v>710</v>
      </c>
      <c r="D385" s="1" t="s">
        <v>308</v>
      </c>
      <c r="E385" s="12" t="s">
        <v>76</v>
      </c>
      <c r="I385" s="6">
        <v>204</v>
      </c>
      <c r="J385" s="1" t="str">
        <f>VLOOKUP(BUDGET!K385,IE!$A$2:$C$132,3,FALSE)</f>
        <v>Salaries &amp; Wages</v>
      </c>
      <c r="K385" s="24">
        <v>240</v>
      </c>
      <c r="L385" s="1" t="s">
        <v>118</v>
      </c>
      <c r="M385" s="22">
        <f>M384*12%</f>
        <v>39568.32</v>
      </c>
      <c r="N385" s="22"/>
    </row>
    <row r="386" spans="1:15">
      <c r="A386" s="6">
        <v>50</v>
      </c>
      <c r="B386" s="1" t="s">
        <v>306</v>
      </c>
      <c r="C386" s="6">
        <v>710</v>
      </c>
      <c r="D386" s="1" t="s">
        <v>308</v>
      </c>
      <c r="E386" s="12">
        <v>71030</v>
      </c>
      <c r="G386" s="6"/>
      <c r="I386" s="6">
        <v>205</v>
      </c>
      <c r="J386" s="1" t="str">
        <f>VLOOKUP(BUDGET!K386,IE!$A$2:$C$132,3,FALSE)</f>
        <v>Salaries &amp; Wages</v>
      </c>
      <c r="K386" s="24">
        <v>250</v>
      </c>
      <c r="L386" s="1" t="s">
        <v>186</v>
      </c>
      <c r="M386" s="22">
        <v>6000</v>
      </c>
      <c r="N386" s="22"/>
      <c r="O386" s="1" t="s">
        <v>462</v>
      </c>
    </row>
    <row r="387" spans="1:15">
      <c r="A387" s="6">
        <v>50</v>
      </c>
      <c r="B387" s="1" t="s">
        <v>306</v>
      </c>
      <c r="C387" s="6">
        <v>710</v>
      </c>
      <c r="D387" s="1" t="s">
        <v>308</v>
      </c>
      <c r="E387" s="12">
        <v>71030</v>
      </c>
      <c r="G387" s="6"/>
      <c r="I387" s="6"/>
      <c r="J387" s="1" t="str">
        <f>VLOOKUP(BUDGET!K387,IE!$A$2:$C$132,3,FALSE)</f>
        <v>Salaries &amp; Wages</v>
      </c>
      <c r="K387" s="24">
        <v>252</v>
      </c>
      <c r="L387" s="1" t="s">
        <v>180</v>
      </c>
      <c r="M387" s="22">
        <v>5000</v>
      </c>
      <c r="N387" s="22"/>
    </row>
    <row r="388" spans="1:15">
      <c r="A388" s="6">
        <v>50</v>
      </c>
      <c r="B388" s="1" t="s">
        <v>306</v>
      </c>
      <c r="C388" s="6">
        <v>710</v>
      </c>
      <c r="D388" s="1" t="s">
        <v>308</v>
      </c>
      <c r="E388" s="12" t="s">
        <v>76</v>
      </c>
      <c r="I388" s="6">
        <v>205</v>
      </c>
      <c r="J388" s="1" t="str">
        <f>VLOOKUP(BUDGET!K388,IE!$A$2:$C$132,3,FALSE)</f>
        <v>Salaries &amp; Wages</v>
      </c>
      <c r="K388" s="24">
        <v>253</v>
      </c>
      <c r="L388" s="1" t="s">
        <v>136</v>
      </c>
      <c r="M388" s="22">
        <v>5000</v>
      </c>
      <c r="N388" s="22"/>
    </row>
    <row r="389" spans="1:15">
      <c r="A389" s="6">
        <v>50</v>
      </c>
      <c r="B389" s="1" t="s">
        <v>306</v>
      </c>
      <c r="C389" s="6">
        <v>710</v>
      </c>
      <c r="D389" s="1" t="s">
        <v>308</v>
      </c>
      <c r="E389" s="12" t="s">
        <v>76</v>
      </c>
      <c r="I389" s="6">
        <v>205</v>
      </c>
      <c r="J389" s="1" t="str">
        <f>VLOOKUP(BUDGET!K389,IE!$A$2:$C$132,3,FALSE)</f>
        <v>Salaries &amp; Wages</v>
      </c>
      <c r="K389" s="24">
        <v>254</v>
      </c>
      <c r="L389" s="1" t="s">
        <v>137</v>
      </c>
      <c r="M389" s="22">
        <v>2000</v>
      </c>
      <c r="N389" s="22"/>
    </row>
    <row r="390" spans="1:15">
      <c r="A390" s="6">
        <v>50</v>
      </c>
      <c r="B390" s="1" t="s">
        <v>306</v>
      </c>
      <c r="C390" s="6">
        <v>710</v>
      </c>
      <c r="D390" s="1" t="s">
        <v>308</v>
      </c>
      <c r="E390" s="12" t="s">
        <v>76</v>
      </c>
      <c r="I390" s="6">
        <v>205</v>
      </c>
      <c r="J390" s="1" t="str">
        <f>VLOOKUP(BUDGET!K390,IE!$A$2:$C$132,3,FALSE)</f>
        <v>Salaries &amp; Wages</v>
      </c>
      <c r="K390" s="24">
        <v>255</v>
      </c>
      <c r="L390" s="1" t="s">
        <v>138</v>
      </c>
      <c r="M390" s="22">
        <v>2500</v>
      </c>
      <c r="N390" s="22"/>
    </row>
    <row r="391" spans="1:15">
      <c r="A391" s="6">
        <v>50</v>
      </c>
      <c r="B391" s="1" t="s">
        <v>306</v>
      </c>
      <c r="C391" s="6">
        <v>710</v>
      </c>
      <c r="D391" s="1" t="s">
        <v>308</v>
      </c>
      <c r="E391" s="12">
        <v>71030</v>
      </c>
      <c r="I391" s="6"/>
      <c r="J391" s="1" t="str">
        <f>VLOOKUP(BUDGET!K391,IE!$A$2:$C$132,3,FALSE)</f>
        <v>Salaries &amp; Wages</v>
      </c>
      <c r="K391" s="24">
        <v>256</v>
      </c>
      <c r="L391" s="1" t="s">
        <v>119</v>
      </c>
      <c r="M391" s="22">
        <f>(M384+M385)*1.5%</f>
        <v>5539.5648000000001</v>
      </c>
      <c r="N391" s="22"/>
    </row>
    <row r="392" spans="1:15">
      <c r="A392" s="6">
        <v>50</v>
      </c>
      <c r="B392" s="1" t="s">
        <v>306</v>
      </c>
      <c r="C392" s="6">
        <v>710</v>
      </c>
      <c r="D392" s="1" t="s">
        <v>308</v>
      </c>
      <c r="E392" s="12" t="s">
        <v>76</v>
      </c>
      <c r="I392" s="6">
        <v>250</v>
      </c>
      <c r="J392" s="1" t="str">
        <f>VLOOKUP(BUDGET!K392,IE!$A$2:$C$132,3,FALSE)</f>
        <v>Materials &amp; Services</v>
      </c>
      <c r="K392" s="24">
        <v>319</v>
      </c>
      <c r="L392" s="1" t="s">
        <v>167</v>
      </c>
      <c r="M392" s="22">
        <v>500</v>
      </c>
      <c r="N392" s="22"/>
    </row>
    <row r="393" spans="1:15">
      <c r="A393" s="6">
        <v>50</v>
      </c>
      <c r="B393" s="1" t="s">
        <v>306</v>
      </c>
      <c r="C393" s="6">
        <v>710</v>
      </c>
      <c r="D393" s="1" t="s">
        <v>308</v>
      </c>
      <c r="E393" s="12" t="s">
        <v>76</v>
      </c>
      <c r="I393" s="6">
        <v>255</v>
      </c>
      <c r="J393" s="1" t="str">
        <f>VLOOKUP(BUDGET!K393,IE!$A$2:$C$132,3,FALSE)</f>
        <v>Materials &amp; Services</v>
      </c>
      <c r="K393" s="24">
        <v>325</v>
      </c>
      <c r="L393" s="1" t="s">
        <v>168</v>
      </c>
      <c r="M393" s="22">
        <v>62400</v>
      </c>
      <c r="N393" s="22"/>
      <c r="O393" s="1" t="s">
        <v>461</v>
      </c>
    </row>
    <row r="394" spans="1:15">
      <c r="A394" s="6">
        <v>50</v>
      </c>
      <c r="B394" s="1" t="s">
        <v>306</v>
      </c>
      <c r="C394" s="6">
        <v>710</v>
      </c>
      <c r="D394" s="1" t="s">
        <v>308</v>
      </c>
      <c r="E394" s="12" t="s">
        <v>76</v>
      </c>
      <c r="I394" s="6">
        <v>270</v>
      </c>
      <c r="J394" s="1" t="str">
        <f>VLOOKUP(BUDGET!K394,IE!$A$2:$C$132,3,FALSE)</f>
        <v>Materials &amp; Services</v>
      </c>
      <c r="K394" s="24">
        <v>333</v>
      </c>
      <c r="L394" s="1" t="s">
        <v>169</v>
      </c>
      <c r="M394" s="22">
        <v>10000</v>
      </c>
      <c r="N394" s="22"/>
    </row>
    <row r="395" spans="1:15">
      <c r="A395" s="6">
        <v>50</v>
      </c>
      <c r="B395" s="1" t="s">
        <v>306</v>
      </c>
      <c r="C395" s="6">
        <v>710</v>
      </c>
      <c r="D395" s="1" t="s">
        <v>308</v>
      </c>
      <c r="E395" s="12" t="s">
        <v>76</v>
      </c>
      <c r="I395" s="6">
        <v>250</v>
      </c>
      <c r="J395" s="1" t="str">
        <f>VLOOKUP(BUDGET!K395,IE!$A$2:$C$132,3,FALSE)</f>
        <v>Materials &amp; Services</v>
      </c>
      <c r="K395" s="24">
        <v>335</v>
      </c>
      <c r="L395" s="1" t="s">
        <v>110</v>
      </c>
      <c r="M395" s="22">
        <v>50000</v>
      </c>
      <c r="N395" s="22"/>
    </row>
    <row r="396" spans="1:15">
      <c r="A396" s="6">
        <v>50</v>
      </c>
      <c r="B396" s="1" t="s">
        <v>306</v>
      </c>
      <c r="C396" s="6">
        <v>710</v>
      </c>
      <c r="D396" s="1" t="s">
        <v>308</v>
      </c>
      <c r="E396" s="12" t="s">
        <v>76</v>
      </c>
      <c r="I396" s="6">
        <v>250</v>
      </c>
      <c r="J396" s="1" t="str">
        <f>VLOOKUP(BUDGET!K396,IE!$A$2:$C$132,3,FALSE)</f>
        <v>Materials &amp; Services</v>
      </c>
      <c r="K396" s="24">
        <v>339</v>
      </c>
      <c r="L396" s="1" t="s">
        <v>274</v>
      </c>
      <c r="M396" s="22">
        <v>1500</v>
      </c>
      <c r="N396" s="22"/>
    </row>
    <row r="397" spans="1:15">
      <c r="A397" s="6">
        <v>50</v>
      </c>
      <c r="B397" s="1" t="s">
        <v>306</v>
      </c>
      <c r="C397" s="6">
        <v>710</v>
      </c>
      <c r="D397" s="1" t="s">
        <v>308</v>
      </c>
      <c r="E397" s="12" t="s">
        <v>76</v>
      </c>
      <c r="I397" s="6">
        <v>250</v>
      </c>
      <c r="J397" s="1" t="str">
        <f>VLOOKUP(BUDGET!K397,IE!$A$2:$C$132,3,FALSE)</f>
        <v>Materials &amp; Services</v>
      </c>
      <c r="K397" s="24">
        <v>350</v>
      </c>
      <c r="L397" s="1" t="s">
        <v>121</v>
      </c>
      <c r="M397" s="22">
        <v>5000</v>
      </c>
      <c r="N397" s="22"/>
    </row>
    <row r="398" spans="1:15">
      <c r="A398" s="6">
        <v>50</v>
      </c>
      <c r="B398" s="1" t="s">
        <v>306</v>
      </c>
      <c r="C398" s="6">
        <v>710</v>
      </c>
      <c r="D398" s="1" t="s">
        <v>308</v>
      </c>
      <c r="E398" s="12" t="s">
        <v>76</v>
      </c>
      <c r="I398" s="6">
        <v>278</v>
      </c>
      <c r="J398" s="1" t="str">
        <f>VLOOKUP(BUDGET!K398,IE!$A$2:$C$132,3,FALSE)</f>
        <v>Materials &amp; Services</v>
      </c>
      <c r="K398" s="24">
        <v>353</v>
      </c>
      <c r="L398" s="1" t="s">
        <v>112</v>
      </c>
      <c r="M398" s="22">
        <v>150000</v>
      </c>
      <c r="N398" s="22"/>
    </row>
    <row r="399" spans="1:15">
      <c r="A399" s="6">
        <v>50</v>
      </c>
      <c r="B399" s="1" t="s">
        <v>306</v>
      </c>
      <c r="C399" s="6">
        <v>710</v>
      </c>
      <c r="D399" s="1" t="s">
        <v>308</v>
      </c>
      <c r="E399" s="12" t="s">
        <v>76</v>
      </c>
      <c r="I399" s="6">
        <v>278</v>
      </c>
      <c r="J399" s="1" t="str">
        <f>VLOOKUP(BUDGET!K399,IE!$A$2:$C$132,3,FALSE)</f>
        <v>Materials &amp; Services</v>
      </c>
      <c r="K399" s="24">
        <v>356</v>
      </c>
      <c r="L399" s="1" t="s">
        <v>160</v>
      </c>
      <c r="M399" s="22">
        <v>25000</v>
      </c>
      <c r="N399" s="22"/>
    </row>
    <row r="400" spans="1:15">
      <c r="A400" s="6">
        <v>50</v>
      </c>
      <c r="B400" s="1" t="s">
        <v>306</v>
      </c>
      <c r="C400" s="6">
        <v>710</v>
      </c>
      <c r="D400" s="1" t="s">
        <v>308</v>
      </c>
      <c r="E400" s="12" t="s">
        <v>76</v>
      </c>
      <c r="I400" s="6">
        <v>250</v>
      </c>
      <c r="J400" s="1" t="str">
        <f>VLOOKUP(BUDGET!K400,IE!$A$2:$C$132,3,FALSE)</f>
        <v>Materials &amp; Services</v>
      </c>
      <c r="K400" s="24">
        <v>358</v>
      </c>
      <c r="L400" s="1" t="s">
        <v>111</v>
      </c>
      <c r="M400" s="22">
        <v>20000</v>
      </c>
      <c r="N400" s="22"/>
    </row>
    <row r="401" spans="1:15">
      <c r="A401" s="6">
        <v>50</v>
      </c>
      <c r="B401" s="1" t="s">
        <v>306</v>
      </c>
      <c r="C401" s="6">
        <v>710</v>
      </c>
      <c r="D401" s="1" t="s">
        <v>308</v>
      </c>
      <c r="E401" s="12" t="s">
        <v>76</v>
      </c>
      <c r="I401" s="6">
        <v>250</v>
      </c>
      <c r="J401" s="1" t="str">
        <f>VLOOKUP(BUDGET!K401,IE!$A$2:$C$132,3,FALSE)</f>
        <v>Materials &amp; Services</v>
      </c>
      <c r="K401" s="24">
        <v>366</v>
      </c>
      <c r="L401" s="1" t="s">
        <v>142</v>
      </c>
      <c r="M401" s="22">
        <v>10000</v>
      </c>
      <c r="N401" s="22"/>
    </row>
    <row r="402" spans="1:15">
      <c r="A402" s="6">
        <v>50</v>
      </c>
      <c r="B402" s="1" t="s">
        <v>306</v>
      </c>
      <c r="C402" s="6">
        <v>710</v>
      </c>
      <c r="D402" s="1" t="s">
        <v>308</v>
      </c>
      <c r="E402" s="12" t="s">
        <v>76</v>
      </c>
      <c r="I402" s="6">
        <v>250</v>
      </c>
      <c r="J402" s="1" t="str">
        <f>VLOOKUP(BUDGET!K402,IE!$A$2:$C$132,3,FALSE)</f>
        <v>Materials &amp; Services</v>
      </c>
      <c r="K402" s="24">
        <v>369</v>
      </c>
      <c r="L402" s="1" t="s">
        <v>123</v>
      </c>
      <c r="M402" s="22">
        <v>5000</v>
      </c>
      <c r="N402" s="22"/>
    </row>
    <row r="403" spans="1:15">
      <c r="A403" s="6">
        <v>50</v>
      </c>
      <c r="B403" s="1" t="s">
        <v>306</v>
      </c>
      <c r="C403" s="6">
        <v>710</v>
      </c>
      <c r="D403" s="1" t="s">
        <v>308</v>
      </c>
      <c r="E403" s="12" t="s">
        <v>76</v>
      </c>
      <c r="I403" s="6">
        <v>250</v>
      </c>
      <c r="J403" s="1" t="str">
        <f>VLOOKUP(BUDGET!K403,IE!$A$2:$C$132,3,FALSE)</f>
        <v>Materials &amp; Services</v>
      </c>
      <c r="K403" s="24">
        <v>371</v>
      </c>
      <c r="L403" s="1" t="s">
        <v>156</v>
      </c>
      <c r="M403" s="22">
        <v>10000</v>
      </c>
      <c r="N403" s="22"/>
    </row>
    <row r="404" spans="1:15">
      <c r="A404" s="6">
        <v>50</v>
      </c>
      <c r="B404" s="1" t="s">
        <v>306</v>
      </c>
      <c r="C404" s="6">
        <v>710</v>
      </c>
      <c r="D404" s="1" t="s">
        <v>308</v>
      </c>
      <c r="E404" s="12" t="s">
        <v>76</v>
      </c>
      <c r="I404" s="6">
        <v>272</v>
      </c>
      <c r="J404" s="1" t="str">
        <f>VLOOKUP(BUDGET!K404,IE!$A$2:$C$132,3,FALSE)</f>
        <v>Property Expenses</v>
      </c>
      <c r="K404" s="24">
        <v>378</v>
      </c>
      <c r="L404" s="1" t="s">
        <v>263</v>
      </c>
      <c r="M404" s="22">
        <f>-M383*60%</f>
        <v>1782828</v>
      </c>
      <c r="N404" s="22"/>
    </row>
    <row r="405" spans="1:15">
      <c r="A405" s="6">
        <v>50</v>
      </c>
      <c r="B405" s="1" t="s">
        <v>306</v>
      </c>
      <c r="C405" s="6">
        <v>710</v>
      </c>
      <c r="D405" s="1" t="s">
        <v>308</v>
      </c>
      <c r="E405" s="12" t="s">
        <v>76</v>
      </c>
      <c r="I405" s="6">
        <v>272</v>
      </c>
      <c r="J405" s="1" t="str">
        <f>VLOOKUP(BUDGET!K405,IE!$A$2:$C$132,3,FALSE)</f>
        <v>Property Expenses</v>
      </c>
      <c r="K405" s="24">
        <v>380</v>
      </c>
      <c r="L405" s="1" t="s">
        <v>127</v>
      </c>
      <c r="M405" s="22">
        <v>4000</v>
      </c>
      <c r="N405" s="22"/>
    </row>
    <row r="406" spans="1:15">
      <c r="A406" s="6">
        <v>50</v>
      </c>
      <c r="B406" s="1" t="s">
        <v>306</v>
      </c>
      <c r="C406" s="6">
        <v>710</v>
      </c>
      <c r="D406" s="1" t="s">
        <v>308</v>
      </c>
      <c r="E406" s="12" t="s">
        <v>76</v>
      </c>
      <c r="I406" s="6">
        <v>272</v>
      </c>
      <c r="J406" s="1" t="str">
        <f>VLOOKUP(BUDGET!K406,IE!$A$2:$C$132,3,FALSE)</f>
        <v>Property Expenses</v>
      </c>
      <c r="K406" s="24">
        <v>382</v>
      </c>
      <c r="L406" s="1" t="s">
        <v>144</v>
      </c>
      <c r="M406" s="22">
        <v>5000</v>
      </c>
      <c r="N406" s="22"/>
    </row>
    <row r="407" spans="1:15">
      <c r="A407" s="6">
        <v>50</v>
      </c>
      <c r="B407" s="1" t="s">
        <v>306</v>
      </c>
      <c r="C407" s="6">
        <v>710</v>
      </c>
      <c r="D407" s="1" t="s">
        <v>308</v>
      </c>
      <c r="E407" s="12">
        <v>71030</v>
      </c>
      <c r="G407" s="6"/>
      <c r="I407" s="6">
        <v>268</v>
      </c>
      <c r="J407" s="1" t="str">
        <f>VLOOKUP(BUDGET!K407,IE!$A$2:$C$132,3,FALSE)</f>
        <v>Motor Vehicle Expenses</v>
      </c>
      <c r="K407" s="24">
        <v>394</v>
      </c>
      <c r="L407" s="1" t="s">
        <v>158</v>
      </c>
      <c r="M407" s="22">
        <v>3500</v>
      </c>
      <c r="N407" s="22"/>
    </row>
    <row r="408" spans="1:15">
      <c r="A408" s="6">
        <v>50</v>
      </c>
      <c r="B408" s="1" t="s">
        <v>306</v>
      </c>
      <c r="C408" s="6">
        <v>710</v>
      </c>
      <c r="D408" s="1" t="s">
        <v>308</v>
      </c>
      <c r="E408" s="12">
        <v>71060</v>
      </c>
      <c r="I408" s="6">
        <v>810</v>
      </c>
      <c r="J408" s="1" t="str">
        <f>VLOOKUP(BUDGET!K408,IE!$A$2:$C$132,3,FALSE)</f>
        <v>Capital Expenses</v>
      </c>
      <c r="K408" s="24">
        <v>810</v>
      </c>
      <c r="L408" s="1" t="s">
        <v>182</v>
      </c>
      <c r="M408" s="22">
        <v>25000</v>
      </c>
      <c r="N408" s="22"/>
      <c r="O408" s="1" t="s">
        <v>584</v>
      </c>
    </row>
    <row r="409" spans="1:15">
      <c r="A409" s="6">
        <v>50</v>
      </c>
      <c r="B409" s="1" t="s">
        <v>306</v>
      </c>
      <c r="C409" s="6">
        <v>710</v>
      </c>
      <c r="D409" s="1" t="s">
        <v>308</v>
      </c>
      <c r="E409" s="12">
        <v>71030</v>
      </c>
      <c r="I409" s="6"/>
      <c r="J409" s="1" t="str">
        <f>VLOOKUP(BUDGET!K409,IE!$A$2:$C$132,3,FALSE)</f>
        <v>Internal Transfer</v>
      </c>
      <c r="K409" s="24">
        <v>904</v>
      </c>
      <c r="L409" s="1" t="s">
        <v>161</v>
      </c>
      <c r="M409" s="22">
        <v>25000</v>
      </c>
      <c r="N409" s="22"/>
    </row>
    <row r="410" spans="1:15">
      <c r="A410" s="6">
        <v>50</v>
      </c>
      <c r="B410" s="1" t="s">
        <v>306</v>
      </c>
      <c r="C410" s="6">
        <v>710</v>
      </c>
      <c r="D410" s="1" t="s">
        <v>308</v>
      </c>
      <c r="E410" s="12">
        <v>71030</v>
      </c>
      <c r="I410" s="6"/>
      <c r="J410" s="1" t="str">
        <f>VLOOKUP(BUDGET!K410,IE!$A$2:$C$132,3,FALSE)</f>
        <v>Internal Transfer</v>
      </c>
      <c r="K410" s="24">
        <v>905</v>
      </c>
      <c r="L410" s="1" t="s">
        <v>148</v>
      </c>
      <c r="M410" s="22">
        <f>-M39+-M281+-M292+-M310+-M318+-M322+-M381+-M460+-M487</f>
        <v>-83000</v>
      </c>
      <c r="N410" s="22"/>
    </row>
    <row r="411" spans="1:15">
      <c r="A411" s="6">
        <v>50</v>
      </c>
      <c r="B411" s="1" t="s">
        <v>306</v>
      </c>
      <c r="C411" s="6">
        <v>710</v>
      </c>
      <c r="D411" s="1" t="s">
        <v>308</v>
      </c>
      <c r="E411" s="12">
        <v>71030</v>
      </c>
      <c r="I411" s="6"/>
      <c r="J411" s="1" t="str">
        <f>VLOOKUP(BUDGET!K411,IE!$A$2:$C$132,3,FALSE)</f>
        <v>Internal Transfer</v>
      </c>
      <c r="K411" s="24">
        <v>906</v>
      </c>
      <c r="L411" s="1" t="s">
        <v>162</v>
      </c>
      <c r="M411" s="22">
        <v>7500</v>
      </c>
      <c r="N411" s="22"/>
    </row>
    <row r="412" spans="1:15">
      <c r="A412" s="6">
        <v>50</v>
      </c>
      <c r="B412" s="1" t="s">
        <v>306</v>
      </c>
      <c r="C412" s="6">
        <v>710</v>
      </c>
      <c r="D412" s="1" t="s">
        <v>308</v>
      </c>
      <c r="E412" s="12">
        <v>71030</v>
      </c>
      <c r="I412" s="6"/>
      <c r="J412" s="1" t="str">
        <f>VLOOKUP(BUDGET!K412,IE!$A$2:$C$132,3,FALSE)</f>
        <v>Internal Transfer</v>
      </c>
      <c r="K412" s="24">
        <v>908</v>
      </c>
      <c r="L412" s="1" t="s">
        <v>279</v>
      </c>
      <c r="M412" s="22">
        <v>20000</v>
      </c>
      <c r="N412" s="22"/>
    </row>
    <row r="413" spans="1:15">
      <c r="A413" s="6">
        <v>50</v>
      </c>
      <c r="B413" s="1" t="s">
        <v>306</v>
      </c>
      <c r="C413" s="6">
        <v>710</v>
      </c>
      <c r="D413" s="1" t="s">
        <v>308</v>
      </c>
      <c r="E413" s="12">
        <v>71030</v>
      </c>
      <c r="G413" s="1">
        <v>710</v>
      </c>
      <c r="I413" s="6">
        <v>900</v>
      </c>
      <c r="J413" s="1" t="s">
        <v>385</v>
      </c>
      <c r="K413" s="24">
        <v>912</v>
      </c>
      <c r="L413" s="1" t="s">
        <v>285</v>
      </c>
      <c r="M413" s="22">
        <v>15000</v>
      </c>
      <c r="N413" s="22"/>
    </row>
    <row r="414" spans="1:15">
      <c r="A414" s="6">
        <v>50</v>
      </c>
      <c r="B414" s="1" t="s">
        <v>306</v>
      </c>
      <c r="C414" s="6">
        <v>712</v>
      </c>
      <c r="D414" s="1" t="s">
        <v>312</v>
      </c>
      <c r="E414" s="12" t="s">
        <v>77</v>
      </c>
      <c r="F414" s="1" t="s">
        <v>313</v>
      </c>
      <c r="G414" s="1" t="s">
        <v>12</v>
      </c>
      <c r="I414" s="6">
        <v>114</v>
      </c>
      <c r="J414" s="1" t="str">
        <f>VLOOKUP(BUDGET!K414,IE!$A$2:$C$132,3,FALSE)</f>
        <v>Rental Income</v>
      </c>
      <c r="K414" s="24">
        <v>142</v>
      </c>
      <c r="L414" s="1" t="s">
        <v>314</v>
      </c>
      <c r="M414" s="20">
        <v>-340000</v>
      </c>
      <c r="N414" s="20"/>
      <c r="O414" s="1" t="s">
        <v>463</v>
      </c>
    </row>
    <row r="415" spans="1:15">
      <c r="A415" s="6">
        <v>50</v>
      </c>
      <c r="B415" s="1" t="s">
        <v>306</v>
      </c>
      <c r="C415" s="6">
        <v>712</v>
      </c>
      <c r="D415" s="1" t="s">
        <v>312</v>
      </c>
      <c r="E415" s="12" t="s">
        <v>78</v>
      </c>
      <c r="G415" s="6">
        <v>712</v>
      </c>
      <c r="H415" s="1" t="s">
        <v>315</v>
      </c>
      <c r="I415" s="6">
        <v>201</v>
      </c>
      <c r="J415" s="1" t="str">
        <f>VLOOKUP(BUDGET!K415,IE!$A$2:$C$132,3,FALSE)</f>
        <v>Salaries &amp; Wages</v>
      </c>
      <c r="K415" s="24">
        <v>210</v>
      </c>
      <c r="L415" s="1" t="s">
        <v>117</v>
      </c>
      <c r="M415" s="22">
        <v>109150</v>
      </c>
      <c r="N415" s="22"/>
      <c r="O415" s="1" t="s">
        <v>464</v>
      </c>
    </row>
    <row r="416" spans="1:15">
      <c r="A416" s="6">
        <v>50</v>
      </c>
      <c r="B416" s="1" t="s">
        <v>306</v>
      </c>
      <c r="C416" s="6">
        <v>712</v>
      </c>
      <c r="D416" s="1" t="s">
        <v>312</v>
      </c>
      <c r="E416" s="12" t="s">
        <v>78</v>
      </c>
      <c r="G416" s="6">
        <v>712</v>
      </c>
      <c r="H416" s="1" t="s">
        <v>315</v>
      </c>
      <c r="I416" s="6">
        <v>204</v>
      </c>
      <c r="J416" s="1" t="str">
        <f>VLOOKUP(BUDGET!K416,IE!$A$2:$C$132,3,FALSE)</f>
        <v>Salaries &amp; Wages</v>
      </c>
      <c r="K416" s="24">
        <v>240</v>
      </c>
      <c r="L416" s="1" t="s">
        <v>118</v>
      </c>
      <c r="M416" s="22">
        <f>M415*12%</f>
        <v>13098</v>
      </c>
      <c r="N416" s="22"/>
    </row>
    <row r="417" spans="1:15">
      <c r="A417" s="6">
        <v>50</v>
      </c>
      <c r="B417" s="1" t="s">
        <v>306</v>
      </c>
      <c r="C417" s="6">
        <v>712</v>
      </c>
      <c r="D417" s="1" t="s">
        <v>312</v>
      </c>
      <c r="E417" s="12" t="s">
        <v>78</v>
      </c>
      <c r="G417" s="6">
        <v>712</v>
      </c>
      <c r="H417" s="1" t="s">
        <v>315</v>
      </c>
      <c r="I417" s="6">
        <v>205</v>
      </c>
      <c r="J417" s="1" t="str">
        <f>VLOOKUP(BUDGET!K417,IE!$A$2:$C$132,3,FALSE)</f>
        <v>Salaries &amp; Wages</v>
      </c>
      <c r="K417" s="24">
        <v>252</v>
      </c>
      <c r="L417" s="1" t="s">
        <v>180</v>
      </c>
      <c r="M417" s="22">
        <v>1000</v>
      </c>
      <c r="N417" s="22"/>
    </row>
    <row r="418" spans="1:15">
      <c r="A418" s="6">
        <v>50</v>
      </c>
      <c r="B418" s="1" t="s">
        <v>306</v>
      </c>
      <c r="C418" s="6">
        <v>712</v>
      </c>
      <c r="D418" s="1" t="s">
        <v>312</v>
      </c>
      <c r="E418" s="12" t="s">
        <v>78</v>
      </c>
      <c r="G418" s="6">
        <v>712</v>
      </c>
      <c r="H418" s="1" t="s">
        <v>315</v>
      </c>
      <c r="I418" s="6">
        <v>205</v>
      </c>
      <c r="J418" s="1" t="str">
        <f>VLOOKUP(BUDGET!K418,IE!$A$2:$C$132,3,FALSE)</f>
        <v>Salaries &amp; Wages</v>
      </c>
      <c r="K418" s="24">
        <v>255</v>
      </c>
      <c r="L418" s="1" t="s">
        <v>138</v>
      </c>
      <c r="M418" s="22">
        <v>500</v>
      </c>
      <c r="N418" s="22"/>
    </row>
    <row r="419" spans="1:15">
      <c r="A419" s="6">
        <v>50</v>
      </c>
      <c r="B419" s="1" t="s">
        <v>306</v>
      </c>
      <c r="C419" s="6">
        <v>712</v>
      </c>
      <c r="D419" s="1" t="s">
        <v>312</v>
      </c>
      <c r="E419" s="12" t="s">
        <v>78</v>
      </c>
      <c r="G419" s="6">
        <v>712</v>
      </c>
      <c r="H419" s="1" t="s">
        <v>315</v>
      </c>
      <c r="I419" s="6">
        <v>205</v>
      </c>
      <c r="J419" s="1" t="str">
        <f>VLOOKUP(BUDGET!K419,IE!$A$2:$C$132,3,FALSE)</f>
        <v>Salaries &amp; Wages</v>
      </c>
      <c r="K419" s="24">
        <v>256</v>
      </c>
      <c r="L419" s="1" t="s">
        <v>119</v>
      </c>
      <c r="M419" s="22">
        <f>(M415+M416)*1.5%</f>
        <v>1833.72</v>
      </c>
      <c r="N419" s="22"/>
    </row>
    <row r="420" spans="1:15">
      <c r="A420" s="6">
        <v>50</v>
      </c>
      <c r="B420" s="1" t="s">
        <v>306</v>
      </c>
      <c r="C420" s="6">
        <v>712</v>
      </c>
      <c r="D420" s="1" t="s">
        <v>312</v>
      </c>
      <c r="E420" s="12" t="s">
        <v>78</v>
      </c>
      <c r="G420" s="6">
        <v>712</v>
      </c>
      <c r="H420" s="1" t="s">
        <v>315</v>
      </c>
      <c r="I420" s="6">
        <v>250</v>
      </c>
      <c r="J420" s="1" t="str">
        <f>VLOOKUP(BUDGET!K420,IE!$A$2:$C$132,3,FALSE)</f>
        <v>Materials &amp; Services</v>
      </c>
      <c r="K420" s="24">
        <v>335</v>
      </c>
      <c r="L420" s="1" t="s">
        <v>110</v>
      </c>
      <c r="M420" s="22">
        <v>500</v>
      </c>
      <c r="N420" s="22"/>
    </row>
    <row r="421" spans="1:15">
      <c r="A421" s="6">
        <v>50</v>
      </c>
      <c r="B421" s="1" t="s">
        <v>306</v>
      </c>
      <c r="C421" s="6">
        <v>712</v>
      </c>
      <c r="D421" s="1" t="s">
        <v>312</v>
      </c>
      <c r="E421" s="12">
        <v>71230</v>
      </c>
      <c r="G421" s="6">
        <v>712</v>
      </c>
      <c r="H421" s="1" t="s">
        <v>315</v>
      </c>
      <c r="I421" s="6">
        <v>264</v>
      </c>
      <c r="J421" s="1" t="str">
        <f>VLOOKUP(BUDGET!K421,IE!$A$2:$C$132,3,FALSE)</f>
        <v>Materials &amp; Services</v>
      </c>
      <c r="K421" s="24">
        <v>347</v>
      </c>
      <c r="L421" s="1" t="s">
        <v>194</v>
      </c>
      <c r="M421" s="22">
        <v>100000</v>
      </c>
      <c r="N421" s="22"/>
      <c r="O421" s="1" t="s">
        <v>466</v>
      </c>
    </row>
    <row r="422" spans="1:15">
      <c r="A422" s="6">
        <v>50</v>
      </c>
      <c r="B422" s="1" t="s">
        <v>306</v>
      </c>
      <c r="C422" s="6">
        <v>712</v>
      </c>
      <c r="D422" s="1" t="s">
        <v>312</v>
      </c>
      <c r="E422" s="12" t="s">
        <v>78</v>
      </c>
      <c r="G422" s="6">
        <v>712</v>
      </c>
      <c r="H422" s="1" t="s">
        <v>315</v>
      </c>
      <c r="I422" s="6">
        <v>250</v>
      </c>
      <c r="J422" s="1" t="str">
        <f>VLOOKUP(BUDGET!K422,IE!$A$2:$C$132,3,FALSE)</f>
        <v>Materials &amp; Services</v>
      </c>
      <c r="K422" s="24">
        <v>350</v>
      </c>
      <c r="L422" s="1" t="s">
        <v>121</v>
      </c>
      <c r="M422" s="22">
        <v>2000</v>
      </c>
      <c r="N422" s="22"/>
    </row>
    <row r="423" spans="1:15">
      <c r="A423" s="6">
        <v>50</v>
      </c>
      <c r="B423" s="1" t="s">
        <v>306</v>
      </c>
      <c r="C423" s="6">
        <v>712</v>
      </c>
      <c r="D423" s="1" t="s">
        <v>312</v>
      </c>
      <c r="E423" s="12" t="s">
        <v>78</v>
      </c>
      <c r="G423" s="6">
        <v>712</v>
      </c>
      <c r="H423" s="1" t="s">
        <v>315</v>
      </c>
      <c r="I423" s="6">
        <v>250</v>
      </c>
      <c r="J423" s="1" t="str">
        <f>VLOOKUP(BUDGET!K423,IE!$A$2:$C$132,3,FALSE)</f>
        <v>Materials &amp; Services</v>
      </c>
      <c r="K423" s="24">
        <v>369</v>
      </c>
      <c r="L423" s="1" t="s">
        <v>123</v>
      </c>
      <c r="M423" s="22">
        <v>2000</v>
      </c>
      <c r="N423" s="22"/>
    </row>
    <row r="424" spans="1:15">
      <c r="A424" s="6">
        <v>50</v>
      </c>
      <c r="B424" s="1" t="s">
        <v>306</v>
      </c>
      <c r="C424" s="6">
        <v>712</v>
      </c>
      <c r="D424" s="1" t="s">
        <v>312</v>
      </c>
      <c r="E424" s="12" t="s">
        <v>78</v>
      </c>
      <c r="G424" s="6">
        <v>712</v>
      </c>
      <c r="H424" s="1" t="s">
        <v>315</v>
      </c>
      <c r="I424" s="6">
        <v>268</v>
      </c>
      <c r="J424" s="1" t="str">
        <f>VLOOKUP(BUDGET!K424,IE!$A$2:$C$132,3,FALSE)</f>
        <v>Motor Vehicle Expenses</v>
      </c>
      <c r="K424" s="24">
        <v>394</v>
      </c>
      <c r="L424" s="1" t="s">
        <v>158</v>
      </c>
      <c r="M424" s="22">
        <v>500</v>
      </c>
      <c r="N424" s="22"/>
    </row>
    <row r="425" spans="1:15">
      <c r="A425" s="6">
        <v>50</v>
      </c>
      <c r="B425" s="1" t="s">
        <v>306</v>
      </c>
      <c r="C425" s="6">
        <v>712</v>
      </c>
      <c r="D425" s="1" t="s">
        <v>312</v>
      </c>
      <c r="E425" s="12" t="s">
        <v>78</v>
      </c>
      <c r="G425" s="6">
        <v>712</v>
      </c>
      <c r="H425" s="1" t="s">
        <v>315</v>
      </c>
      <c r="I425" s="6">
        <v>272</v>
      </c>
      <c r="J425" s="1" t="str">
        <f>VLOOKUP(BUDGET!K425,IE!$A$2:$C$132,3,FALSE)</f>
        <v>Property Expenses</v>
      </c>
      <c r="K425" s="24">
        <v>380</v>
      </c>
      <c r="L425" s="1" t="s">
        <v>127</v>
      </c>
      <c r="M425" s="22">
        <v>2500</v>
      </c>
      <c r="N425" s="22"/>
    </row>
    <row r="426" spans="1:15">
      <c r="A426" s="6">
        <v>50</v>
      </c>
      <c r="B426" s="1" t="s">
        <v>306</v>
      </c>
      <c r="C426" s="6">
        <v>712</v>
      </c>
      <c r="D426" s="1" t="s">
        <v>312</v>
      </c>
      <c r="E426" s="12" t="s">
        <v>78</v>
      </c>
      <c r="G426" s="6">
        <v>712</v>
      </c>
      <c r="H426" s="1" t="s">
        <v>315</v>
      </c>
      <c r="I426" s="6">
        <v>272</v>
      </c>
      <c r="J426" s="1" t="str">
        <f>VLOOKUP(BUDGET!K426,IE!$A$2:$C$132,3,FALSE)</f>
        <v>Property Expenses</v>
      </c>
      <c r="K426" s="24">
        <v>382</v>
      </c>
      <c r="L426" s="1" t="s">
        <v>144</v>
      </c>
      <c r="M426" s="22">
        <v>1000</v>
      </c>
      <c r="N426" s="22"/>
    </row>
    <row r="427" spans="1:15">
      <c r="A427" s="6">
        <v>50</v>
      </c>
      <c r="B427" s="1" t="s">
        <v>306</v>
      </c>
      <c r="C427" s="6">
        <v>712</v>
      </c>
      <c r="D427" s="1" t="s">
        <v>312</v>
      </c>
      <c r="E427" s="12" t="s">
        <v>78</v>
      </c>
      <c r="G427" s="6">
        <v>712</v>
      </c>
      <c r="H427" s="1" t="s">
        <v>315</v>
      </c>
      <c r="I427" s="6">
        <v>900</v>
      </c>
      <c r="J427" s="1" t="str">
        <f>VLOOKUP(BUDGET!K427,IE!$A$2:$C$132,3,FALSE)</f>
        <v>Internal Transfer</v>
      </c>
      <c r="K427" s="24">
        <v>904</v>
      </c>
      <c r="L427" s="1" t="s">
        <v>161</v>
      </c>
      <c r="M427" s="22">
        <v>4000</v>
      </c>
      <c r="N427" s="22"/>
    </row>
    <row r="428" spans="1:15">
      <c r="A428" s="6">
        <v>50</v>
      </c>
      <c r="B428" s="1" t="s">
        <v>306</v>
      </c>
      <c r="C428" s="6">
        <v>712</v>
      </c>
      <c r="D428" s="1" t="s">
        <v>312</v>
      </c>
      <c r="E428" s="12" t="s">
        <v>78</v>
      </c>
      <c r="G428" s="6">
        <v>712</v>
      </c>
      <c r="H428" s="1" t="s">
        <v>315</v>
      </c>
      <c r="I428" s="6">
        <v>900</v>
      </c>
      <c r="J428" s="1" t="str">
        <f>VLOOKUP(BUDGET!K428,IE!$A$2:$C$132,3,FALSE)</f>
        <v>Internal Transfer</v>
      </c>
      <c r="K428" s="24">
        <v>906</v>
      </c>
      <c r="L428" s="1" t="s">
        <v>162</v>
      </c>
      <c r="M428" s="22">
        <v>2000</v>
      </c>
      <c r="N428" s="22"/>
    </row>
    <row r="429" spans="1:15">
      <c r="A429" s="6">
        <v>40</v>
      </c>
      <c r="B429" s="1" t="s">
        <v>218</v>
      </c>
      <c r="C429" s="6">
        <v>714</v>
      </c>
      <c r="D429" s="1" t="s">
        <v>316</v>
      </c>
      <c r="E429" s="12" t="s">
        <v>79</v>
      </c>
      <c r="F429" s="1" t="s">
        <v>316</v>
      </c>
      <c r="G429" s="1" t="s">
        <v>12</v>
      </c>
      <c r="I429" s="6">
        <v>124</v>
      </c>
      <c r="J429" s="1" t="str">
        <f>VLOOKUP(BUDGET!K429,IE!$A$2:$C$132,3,FALSE)</f>
        <v>Grants, Subsidies, Contributions &amp; Donations</v>
      </c>
      <c r="K429" s="24">
        <v>181</v>
      </c>
      <c r="L429" s="1" t="s">
        <v>108</v>
      </c>
      <c r="M429" s="20">
        <v>-477000</v>
      </c>
      <c r="N429" s="20"/>
    </row>
    <row r="430" spans="1:15">
      <c r="A430" s="6">
        <v>40</v>
      </c>
      <c r="B430" s="1" t="s">
        <v>218</v>
      </c>
      <c r="C430" s="6">
        <v>714</v>
      </c>
      <c r="D430" s="1" t="s">
        <v>316</v>
      </c>
      <c r="E430" s="12" t="s">
        <v>80</v>
      </c>
      <c r="F430" s="1" t="s">
        <v>317</v>
      </c>
      <c r="G430" s="1" t="s">
        <v>12</v>
      </c>
      <c r="I430" s="6">
        <v>252</v>
      </c>
      <c r="J430" s="1" t="str">
        <f>VLOOKUP(BUDGET!K430,IE!$A$2:$C$132,3,FALSE)</f>
        <v>Materials &amp; Services</v>
      </c>
      <c r="K430" s="24">
        <v>324</v>
      </c>
      <c r="L430" s="1" t="s">
        <v>189</v>
      </c>
      <c r="M430" s="22">
        <v>30000</v>
      </c>
      <c r="N430" s="22"/>
      <c r="O430" s="1" t="s">
        <v>446</v>
      </c>
    </row>
    <row r="431" spans="1:15">
      <c r="A431" s="6">
        <v>40</v>
      </c>
      <c r="B431" s="1" t="s">
        <v>218</v>
      </c>
      <c r="C431" s="6">
        <v>714</v>
      </c>
      <c r="D431" s="1" t="s">
        <v>316</v>
      </c>
      <c r="E431" s="12" t="s">
        <v>80</v>
      </c>
      <c r="F431" s="1" t="s">
        <v>317</v>
      </c>
      <c r="G431" s="1" t="s">
        <v>12</v>
      </c>
      <c r="I431" s="6">
        <v>254</v>
      </c>
      <c r="J431" s="1" t="str">
        <f>VLOOKUP(BUDGET!K431,IE!$A$2:$C$132,3,FALSE)</f>
        <v>Materials &amp; Services</v>
      </c>
      <c r="K431" s="24">
        <v>321</v>
      </c>
      <c r="L431" s="1" t="s">
        <v>191</v>
      </c>
      <c r="M431" s="22">
        <v>50000</v>
      </c>
      <c r="N431" s="22"/>
      <c r="O431" s="1" t="s">
        <v>447</v>
      </c>
    </row>
    <row r="432" spans="1:15">
      <c r="A432" s="6">
        <v>40</v>
      </c>
      <c r="B432" s="1" t="s">
        <v>218</v>
      </c>
      <c r="C432" s="6">
        <v>714</v>
      </c>
      <c r="D432" s="1" t="s">
        <v>316</v>
      </c>
      <c r="E432" s="12" t="s">
        <v>80</v>
      </c>
      <c r="F432" s="1" t="s">
        <v>317</v>
      </c>
      <c r="G432" s="1" t="s">
        <v>12</v>
      </c>
      <c r="I432" s="6">
        <v>810</v>
      </c>
      <c r="J432" s="1" t="str">
        <f>VLOOKUP(BUDGET!K432,IE!$A$2:$C$132,3,FALSE)</f>
        <v>Capital Expenses</v>
      </c>
      <c r="K432" s="24">
        <v>810</v>
      </c>
      <c r="L432" s="1" t="s">
        <v>182</v>
      </c>
      <c r="M432" s="22">
        <v>128000</v>
      </c>
      <c r="N432" s="22"/>
      <c r="O432" s="1" t="s">
        <v>586</v>
      </c>
    </row>
    <row r="433" spans="1:15">
      <c r="A433" s="6">
        <v>40</v>
      </c>
      <c r="B433" s="1" t="s">
        <v>218</v>
      </c>
      <c r="C433" s="6">
        <v>714</v>
      </c>
      <c r="D433" s="1" t="s">
        <v>316</v>
      </c>
      <c r="E433" s="12" t="s">
        <v>80</v>
      </c>
      <c r="F433" s="1" t="s">
        <v>317</v>
      </c>
      <c r="G433" s="1" t="s">
        <v>12</v>
      </c>
      <c r="I433" s="6">
        <v>900</v>
      </c>
      <c r="J433" s="1" t="str">
        <f>VLOOKUP(BUDGET!K433,IE!$A$2:$C$132,3,FALSE)</f>
        <v>Internal Transfer</v>
      </c>
      <c r="K433" s="24">
        <v>910</v>
      </c>
      <c r="L433" s="1" t="s">
        <v>125</v>
      </c>
      <c r="M433" s="22">
        <f>-M429-M430-M431-M432</f>
        <v>269000</v>
      </c>
      <c r="N433" s="22"/>
    </row>
    <row r="434" spans="1:15">
      <c r="A434" s="54">
        <v>20</v>
      </c>
      <c r="B434" s="55" t="s">
        <v>257</v>
      </c>
      <c r="C434" s="6">
        <v>740</v>
      </c>
      <c r="D434" s="1" t="s">
        <v>318</v>
      </c>
      <c r="E434" s="12" t="s">
        <v>81</v>
      </c>
      <c r="F434" s="1" t="s">
        <v>319</v>
      </c>
      <c r="G434" s="1" t="s">
        <v>12</v>
      </c>
      <c r="I434" s="6">
        <v>112</v>
      </c>
      <c r="J434" s="1" t="str">
        <f>VLOOKUP(BUDGET!K434,IE!$A$2:$C$132,3,FALSE)</f>
        <v>Fees &amp; Charges</v>
      </c>
      <c r="K434" s="24">
        <v>122</v>
      </c>
      <c r="L434" s="1" t="s">
        <v>320</v>
      </c>
      <c r="M434" s="20">
        <v>-90000</v>
      </c>
      <c r="N434" s="20"/>
    </row>
    <row r="435" spans="1:15">
      <c r="A435" s="54">
        <v>20</v>
      </c>
      <c r="B435" s="55" t="s">
        <v>257</v>
      </c>
      <c r="C435" s="6">
        <v>740</v>
      </c>
      <c r="D435" s="1" t="s">
        <v>318</v>
      </c>
      <c r="E435" s="12" t="s">
        <v>81</v>
      </c>
      <c r="F435" s="1" t="s">
        <v>319</v>
      </c>
      <c r="G435" s="1" t="s">
        <v>12</v>
      </c>
      <c r="I435" s="6">
        <v>112</v>
      </c>
      <c r="J435" s="1" t="str">
        <f>VLOOKUP(BUDGET!K435,IE!$A$2:$C$132,3,FALSE)</f>
        <v>Fees &amp; Charges</v>
      </c>
      <c r="K435" s="24">
        <v>126</v>
      </c>
      <c r="L435" s="1" t="s">
        <v>321</v>
      </c>
      <c r="M435" s="20">
        <v>-4000</v>
      </c>
      <c r="N435" s="20"/>
    </row>
    <row r="436" spans="1:15">
      <c r="A436" s="54">
        <v>20</v>
      </c>
      <c r="B436" s="55" t="s">
        <v>257</v>
      </c>
      <c r="C436" s="6">
        <v>740</v>
      </c>
      <c r="D436" s="1" t="s">
        <v>318</v>
      </c>
      <c r="E436" s="12" t="s">
        <v>81</v>
      </c>
      <c r="F436" s="1" t="s">
        <v>319</v>
      </c>
      <c r="G436" s="1" t="s">
        <v>12</v>
      </c>
      <c r="I436" s="6">
        <v>112</v>
      </c>
      <c r="J436" s="1" t="str">
        <f>VLOOKUP(BUDGET!K436,IE!$A$2:$C$132,3,FALSE)</f>
        <v>Fees &amp; Charges</v>
      </c>
      <c r="K436" s="24">
        <v>130</v>
      </c>
      <c r="L436" s="1" t="s">
        <v>322</v>
      </c>
      <c r="M436" s="20">
        <v>-15000</v>
      </c>
      <c r="N436" s="20"/>
    </row>
    <row r="437" spans="1:15">
      <c r="A437" s="54">
        <v>20</v>
      </c>
      <c r="B437" s="55" t="s">
        <v>257</v>
      </c>
      <c r="C437" s="6">
        <v>740</v>
      </c>
      <c r="D437" s="1" t="s">
        <v>318</v>
      </c>
      <c r="E437" s="12" t="s">
        <v>81</v>
      </c>
      <c r="F437" s="1" t="s">
        <v>319</v>
      </c>
      <c r="G437" s="1" t="s">
        <v>12</v>
      </c>
      <c r="I437" s="6">
        <v>122</v>
      </c>
      <c r="J437" s="1" t="str">
        <f>VLOOKUP(BUDGET!K437,IE!$A$2:$C$132,3,FALSE)</f>
        <v>Fees &amp; Charges</v>
      </c>
      <c r="K437" s="24">
        <v>127</v>
      </c>
      <c r="L437" s="1" t="s">
        <v>261</v>
      </c>
      <c r="M437" s="20">
        <v>-3500</v>
      </c>
      <c r="N437" s="20"/>
    </row>
    <row r="438" spans="1:15">
      <c r="A438" s="54">
        <v>20</v>
      </c>
      <c r="B438" s="55" t="s">
        <v>257</v>
      </c>
      <c r="C438" s="6">
        <v>740</v>
      </c>
      <c r="D438" s="1" t="s">
        <v>318</v>
      </c>
      <c r="E438" s="12" t="s">
        <v>82</v>
      </c>
      <c r="G438" s="6">
        <v>740</v>
      </c>
      <c r="H438" s="1" t="s">
        <v>323</v>
      </c>
      <c r="I438" s="6">
        <v>201</v>
      </c>
      <c r="J438" s="1" t="str">
        <f>VLOOKUP(BUDGET!K438,IE!$A$2:$C$132,3,FALSE)</f>
        <v>Salaries &amp; Wages</v>
      </c>
      <c r="K438" s="24">
        <v>210</v>
      </c>
      <c r="L438" s="1" t="s">
        <v>117</v>
      </c>
      <c r="M438" s="22">
        <v>112390</v>
      </c>
      <c r="N438" s="22"/>
      <c r="O438" s="1" t="s">
        <v>467</v>
      </c>
    </row>
    <row r="439" spans="1:15">
      <c r="A439" s="54">
        <v>20</v>
      </c>
      <c r="B439" s="55" t="s">
        <v>257</v>
      </c>
      <c r="C439" s="6">
        <v>740</v>
      </c>
      <c r="D439" s="1" t="s">
        <v>318</v>
      </c>
      <c r="E439" s="12" t="s">
        <v>82</v>
      </c>
      <c r="G439" s="6">
        <v>740</v>
      </c>
      <c r="H439" s="1" t="s">
        <v>323</v>
      </c>
      <c r="I439" s="6">
        <v>204</v>
      </c>
      <c r="J439" s="1" t="str">
        <f>VLOOKUP(BUDGET!K439,IE!$A$2:$C$132,3,FALSE)</f>
        <v>Salaries &amp; Wages</v>
      </c>
      <c r="K439" s="24">
        <v>240</v>
      </c>
      <c r="L439" s="1" t="s">
        <v>118</v>
      </c>
      <c r="M439" s="22">
        <f>M438*12%</f>
        <v>13486.8</v>
      </c>
      <c r="N439" s="22"/>
    </row>
    <row r="440" spans="1:15">
      <c r="A440" s="54">
        <v>20</v>
      </c>
      <c r="B440" s="55" t="s">
        <v>257</v>
      </c>
      <c r="C440" s="6">
        <v>740</v>
      </c>
      <c r="D440" s="1" t="s">
        <v>318</v>
      </c>
      <c r="E440" s="12" t="s">
        <v>82</v>
      </c>
      <c r="G440" s="6">
        <v>740</v>
      </c>
      <c r="H440" s="1" t="s">
        <v>323</v>
      </c>
      <c r="I440" s="6">
        <v>205</v>
      </c>
      <c r="J440" s="1" t="str">
        <f>VLOOKUP(BUDGET!K440,IE!$A$2:$C$132,3,FALSE)</f>
        <v>Salaries &amp; Wages</v>
      </c>
      <c r="K440" s="24">
        <v>250</v>
      </c>
      <c r="L440" s="1" t="s">
        <v>186</v>
      </c>
      <c r="M440" s="22">
        <v>4000</v>
      </c>
      <c r="N440" s="22"/>
    </row>
    <row r="441" spans="1:15">
      <c r="A441" s="54">
        <v>20</v>
      </c>
      <c r="B441" s="55" t="s">
        <v>257</v>
      </c>
      <c r="C441" s="6">
        <v>740</v>
      </c>
      <c r="D441" s="1" t="s">
        <v>318</v>
      </c>
      <c r="E441" s="12" t="s">
        <v>82</v>
      </c>
      <c r="G441" s="6">
        <v>740</v>
      </c>
      <c r="H441" s="1" t="s">
        <v>323</v>
      </c>
      <c r="I441" s="6">
        <v>205</v>
      </c>
      <c r="J441" s="1" t="str">
        <f>VLOOKUP(BUDGET!K441,IE!$A$2:$C$132,3,FALSE)</f>
        <v>Salaries &amp; Wages</v>
      </c>
      <c r="K441" s="24">
        <v>252</v>
      </c>
      <c r="L441" s="1" t="s">
        <v>180</v>
      </c>
      <c r="M441" s="22">
        <v>1000</v>
      </c>
      <c r="N441" s="22"/>
    </row>
    <row r="442" spans="1:15">
      <c r="A442" s="54">
        <v>20</v>
      </c>
      <c r="B442" s="55" t="s">
        <v>257</v>
      </c>
      <c r="C442" s="6">
        <v>740</v>
      </c>
      <c r="D442" s="1" t="s">
        <v>318</v>
      </c>
      <c r="E442" s="12" t="s">
        <v>82</v>
      </c>
      <c r="G442" s="6">
        <v>740</v>
      </c>
      <c r="H442" s="1" t="s">
        <v>323</v>
      </c>
      <c r="I442" s="6">
        <v>205</v>
      </c>
      <c r="J442" s="1" t="str">
        <f>VLOOKUP(BUDGET!K442,IE!$A$2:$C$132,3,FALSE)</f>
        <v>Salaries &amp; Wages</v>
      </c>
      <c r="K442" s="24">
        <v>255</v>
      </c>
      <c r="L442" s="1" t="s">
        <v>138</v>
      </c>
      <c r="M442" s="22">
        <v>700</v>
      </c>
      <c r="N442" s="22"/>
    </row>
    <row r="443" spans="1:15">
      <c r="A443" s="54">
        <v>20</v>
      </c>
      <c r="B443" s="55" t="s">
        <v>257</v>
      </c>
      <c r="C443" s="6">
        <v>740</v>
      </c>
      <c r="D443" s="1" t="s">
        <v>318</v>
      </c>
      <c r="E443" s="12" t="s">
        <v>82</v>
      </c>
      <c r="G443" s="6">
        <v>740</v>
      </c>
      <c r="H443" s="1" t="s">
        <v>323</v>
      </c>
      <c r="I443" s="6">
        <v>205</v>
      </c>
      <c r="J443" s="1" t="str">
        <f>VLOOKUP(BUDGET!K443,IE!$A$2:$C$132,3,FALSE)</f>
        <v>Salaries &amp; Wages</v>
      </c>
      <c r="K443" s="24">
        <v>256</v>
      </c>
      <c r="L443" s="1" t="s">
        <v>119</v>
      </c>
      <c r="M443" s="22">
        <f>(M438+M439)*1.5%</f>
        <v>1888.152</v>
      </c>
      <c r="N443" s="22"/>
    </row>
    <row r="444" spans="1:15">
      <c r="A444" s="54">
        <v>20</v>
      </c>
      <c r="B444" s="55" t="s">
        <v>257</v>
      </c>
      <c r="C444" s="6">
        <v>740</v>
      </c>
      <c r="D444" s="1" t="s">
        <v>318</v>
      </c>
      <c r="E444" s="12" t="s">
        <v>82</v>
      </c>
      <c r="G444" s="6">
        <v>740</v>
      </c>
      <c r="H444" s="1" t="s">
        <v>323</v>
      </c>
      <c r="I444" s="6">
        <v>250</v>
      </c>
      <c r="J444" s="1" t="str">
        <f>VLOOKUP(BUDGET!K444,IE!$A$2:$C$132,3,FALSE)</f>
        <v>Materials &amp; Services</v>
      </c>
      <c r="K444" s="24">
        <v>317</v>
      </c>
      <c r="L444" s="1" t="s">
        <v>120</v>
      </c>
      <c r="M444" s="22">
        <v>2800</v>
      </c>
      <c r="N444" s="22"/>
      <c r="O444" s="1" t="s">
        <v>468</v>
      </c>
    </row>
    <row r="445" spans="1:15">
      <c r="A445" s="54">
        <v>20</v>
      </c>
      <c r="B445" s="55" t="s">
        <v>257</v>
      </c>
      <c r="C445" s="6">
        <v>740</v>
      </c>
      <c r="D445" s="1" t="s">
        <v>318</v>
      </c>
      <c r="E445" s="12" t="s">
        <v>82</v>
      </c>
      <c r="G445" s="6">
        <v>740</v>
      </c>
      <c r="H445" s="1" t="s">
        <v>323</v>
      </c>
      <c r="I445" s="6">
        <v>250</v>
      </c>
      <c r="J445" s="1" t="str">
        <f>VLOOKUP(BUDGET!K445,IE!$A$2:$C$132,3,FALSE)</f>
        <v>Materials &amp; Services</v>
      </c>
      <c r="K445" s="24">
        <v>319</v>
      </c>
      <c r="L445" s="1" t="s">
        <v>167</v>
      </c>
      <c r="M445" s="22">
        <v>500</v>
      </c>
      <c r="N445" s="22"/>
    </row>
    <row r="446" spans="1:15">
      <c r="A446" s="54">
        <v>20</v>
      </c>
      <c r="B446" s="55" t="s">
        <v>257</v>
      </c>
      <c r="C446" s="6">
        <v>740</v>
      </c>
      <c r="D446" s="1" t="s">
        <v>318</v>
      </c>
      <c r="E446" s="12" t="s">
        <v>82</v>
      </c>
      <c r="G446" s="6">
        <v>740</v>
      </c>
      <c r="H446" s="1" t="s">
        <v>323</v>
      </c>
      <c r="I446" s="6">
        <v>250</v>
      </c>
      <c r="J446" s="1" t="str">
        <f>VLOOKUP(BUDGET!K446,IE!$A$2:$C$132,3,FALSE)</f>
        <v>Materials &amp; Services</v>
      </c>
      <c r="K446" s="24">
        <v>335</v>
      </c>
      <c r="L446" s="1" t="s">
        <v>110</v>
      </c>
      <c r="M446" s="22">
        <v>1200</v>
      </c>
      <c r="N446" s="22"/>
    </row>
    <row r="447" spans="1:15">
      <c r="A447" s="54">
        <v>20</v>
      </c>
      <c r="B447" s="55" t="s">
        <v>257</v>
      </c>
      <c r="C447" s="6">
        <v>740</v>
      </c>
      <c r="D447" s="1" t="s">
        <v>318</v>
      </c>
      <c r="E447" s="12" t="s">
        <v>82</v>
      </c>
      <c r="G447" s="6">
        <v>740</v>
      </c>
      <c r="H447" s="1" t="s">
        <v>323</v>
      </c>
      <c r="I447" s="6">
        <v>250</v>
      </c>
      <c r="J447" s="1" t="str">
        <f>VLOOKUP(BUDGET!K447,IE!$A$2:$C$132,3,FALSE)</f>
        <v>Materials &amp; Services</v>
      </c>
      <c r="K447" s="24">
        <v>350</v>
      </c>
      <c r="L447" s="1" t="s">
        <v>121</v>
      </c>
      <c r="M447" s="22">
        <v>500</v>
      </c>
      <c r="N447" s="22"/>
    </row>
    <row r="448" spans="1:15">
      <c r="A448" s="54">
        <v>20</v>
      </c>
      <c r="B448" s="55" t="s">
        <v>257</v>
      </c>
      <c r="C448" s="6">
        <v>740</v>
      </c>
      <c r="D448" s="1" t="s">
        <v>318</v>
      </c>
      <c r="E448" s="12" t="s">
        <v>82</v>
      </c>
      <c r="G448" s="6">
        <v>740</v>
      </c>
      <c r="H448" s="1" t="s">
        <v>323</v>
      </c>
      <c r="I448" s="6">
        <v>250</v>
      </c>
      <c r="J448" s="1" t="str">
        <f>VLOOKUP(BUDGET!K448,IE!$A$2:$C$132,3,FALSE)</f>
        <v>Materials &amp; Services</v>
      </c>
      <c r="K448" s="24">
        <v>358</v>
      </c>
      <c r="L448" s="1" t="s">
        <v>111</v>
      </c>
      <c r="M448" s="22">
        <v>2000</v>
      </c>
      <c r="N448" s="22"/>
    </row>
    <row r="449" spans="1:15">
      <c r="A449" s="54">
        <v>20</v>
      </c>
      <c r="B449" s="55" t="s">
        <v>257</v>
      </c>
      <c r="C449" s="6">
        <v>740</v>
      </c>
      <c r="D449" s="1" t="s">
        <v>318</v>
      </c>
      <c r="E449" s="12" t="s">
        <v>82</v>
      </c>
      <c r="G449" s="6">
        <v>740</v>
      </c>
      <c r="H449" s="1" t="s">
        <v>323</v>
      </c>
      <c r="I449" s="6">
        <v>250</v>
      </c>
      <c r="J449" s="1" t="str">
        <f>VLOOKUP(BUDGET!K449,IE!$A$2:$C$132,3,FALSE)</f>
        <v>Materials &amp; Services</v>
      </c>
      <c r="K449" s="24">
        <v>366</v>
      </c>
      <c r="L449" s="1" t="s">
        <v>142</v>
      </c>
      <c r="M449" s="22">
        <v>5500</v>
      </c>
      <c r="N449" s="22"/>
      <c r="O449" s="1" t="s">
        <v>470</v>
      </c>
    </row>
    <row r="450" spans="1:15">
      <c r="A450" s="54">
        <v>20</v>
      </c>
      <c r="B450" s="55" t="s">
        <v>257</v>
      </c>
      <c r="C450" s="6">
        <v>740</v>
      </c>
      <c r="D450" s="1" t="s">
        <v>318</v>
      </c>
      <c r="E450" s="12" t="s">
        <v>82</v>
      </c>
      <c r="G450" s="6">
        <v>740</v>
      </c>
      <c r="H450" s="1" t="s">
        <v>323</v>
      </c>
      <c r="I450" s="6">
        <v>250</v>
      </c>
      <c r="J450" s="1" t="str">
        <f>VLOOKUP(BUDGET!K450,IE!$A$2:$C$132,3,FALSE)</f>
        <v>Materials &amp; Services</v>
      </c>
      <c r="K450" s="24">
        <v>367</v>
      </c>
      <c r="L450" s="1" t="s">
        <v>174</v>
      </c>
      <c r="M450" s="22">
        <v>800</v>
      </c>
      <c r="N450" s="22"/>
    </row>
    <row r="451" spans="1:15">
      <c r="A451" s="54">
        <v>20</v>
      </c>
      <c r="B451" s="55" t="s">
        <v>257</v>
      </c>
      <c r="C451" s="6">
        <v>740</v>
      </c>
      <c r="D451" s="1" t="s">
        <v>318</v>
      </c>
      <c r="E451" s="12" t="s">
        <v>82</v>
      </c>
      <c r="G451" s="6">
        <v>740</v>
      </c>
      <c r="H451" s="1" t="s">
        <v>323</v>
      </c>
      <c r="I451" s="6">
        <v>250</v>
      </c>
      <c r="J451" s="1" t="str">
        <f>VLOOKUP(BUDGET!K451,IE!$A$2:$C$132,3,FALSE)</f>
        <v>Materials &amp; Services</v>
      </c>
      <c r="K451" s="24">
        <v>369</v>
      </c>
      <c r="L451" s="1" t="s">
        <v>123</v>
      </c>
      <c r="M451" s="22">
        <v>1200</v>
      </c>
      <c r="N451" s="22"/>
    </row>
    <row r="452" spans="1:15">
      <c r="A452" s="54">
        <v>20</v>
      </c>
      <c r="B452" s="55" t="s">
        <v>257</v>
      </c>
      <c r="C452" s="6">
        <v>740</v>
      </c>
      <c r="D452" s="1" t="s">
        <v>318</v>
      </c>
      <c r="E452" s="12" t="s">
        <v>82</v>
      </c>
      <c r="G452" s="6">
        <v>740</v>
      </c>
      <c r="H452" s="1" t="s">
        <v>323</v>
      </c>
      <c r="I452" s="6">
        <v>268</v>
      </c>
      <c r="J452" s="1" t="str">
        <f>VLOOKUP(BUDGET!K452,IE!$A$2:$C$132,3,FALSE)</f>
        <v>Motor Vehicle Expenses</v>
      </c>
      <c r="K452" s="24">
        <v>394</v>
      </c>
      <c r="L452" s="1" t="s">
        <v>158</v>
      </c>
      <c r="M452" s="22">
        <v>1300</v>
      </c>
      <c r="N452" s="22"/>
    </row>
    <row r="453" spans="1:15">
      <c r="A453" s="54">
        <v>20</v>
      </c>
      <c r="B453" s="55" t="s">
        <v>257</v>
      </c>
      <c r="C453" s="6">
        <v>740</v>
      </c>
      <c r="D453" s="1" t="s">
        <v>318</v>
      </c>
      <c r="E453" s="12" t="s">
        <v>82</v>
      </c>
      <c r="G453" s="6">
        <v>740</v>
      </c>
      <c r="H453" s="1" t="s">
        <v>323</v>
      </c>
      <c r="I453" s="6">
        <v>270</v>
      </c>
      <c r="J453" s="1" t="str">
        <f>VLOOKUP(BUDGET!K453,IE!$A$2:$C$132,3,FALSE)</f>
        <v>Materials &amp; Services</v>
      </c>
      <c r="K453" s="24">
        <v>333</v>
      </c>
      <c r="L453" s="1" t="s">
        <v>169</v>
      </c>
      <c r="M453" s="22">
        <v>6000</v>
      </c>
      <c r="N453" s="22"/>
    </row>
    <row r="454" spans="1:15">
      <c r="A454" s="54">
        <v>20</v>
      </c>
      <c r="B454" s="55" t="s">
        <v>257</v>
      </c>
      <c r="C454" s="6">
        <v>740</v>
      </c>
      <c r="D454" s="1" t="s">
        <v>318</v>
      </c>
      <c r="E454" s="12" t="s">
        <v>82</v>
      </c>
      <c r="G454" s="6">
        <v>740</v>
      </c>
      <c r="H454" s="1" t="s">
        <v>323</v>
      </c>
      <c r="I454" s="6">
        <v>272</v>
      </c>
      <c r="J454" s="1" t="str">
        <f>VLOOKUP(BUDGET!K454,IE!$A$2:$C$132,3,FALSE)</f>
        <v>Property Expenses</v>
      </c>
      <c r="K454" s="24">
        <v>380</v>
      </c>
      <c r="L454" s="1" t="s">
        <v>127</v>
      </c>
      <c r="M454" s="22">
        <v>1500</v>
      </c>
      <c r="N454" s="22"/>
    </row>
    <row r="455" spans="1:15">
      <c r="A455" s="54">
        <v>20</v>
      </c>
      <c r="B455" s="55" t="s">
        <v>257</v>
      </c>
      <c r="C455" s="6">
        <v>740</v>
      </c>
      <c r="D455" s="1" t="s">
        <v>318</v>
      </c>
      <c r="E455" s="12" t="s">
        <v>82</v>
      </c>
      <c r="G455" s="6">
        <v>740</v>
      </c>
      <c r="H455" s="1" t="s">
        <v>323</v>
      </c>
      <c r="I455" s="6">
        <v>272</v>
      </c>
      <c r="J455" s="1" t="str">
        <f>VLOOKUP(BUDGET!K455,IE!$A$2:$C$132,3,FALSE)</f>
        <v>Property Expenses</v>
      </c>
      <c r="K455" s="24">
        <v>382</v>
      </c>
      <c r="L455" s="1" t="s">
        <v>144</v>
      </c>
      <c r="M455" s="22">
        <v>1500</v>
      </c>
      <c r="N455" s="22"/>
    </row>
    <row r="456" spans="1:15">
      <c r="A456" s="54">
        <v>20</v>
      </c>
      <c r="B456" s="55" t="s">
        <v>257</v>
      </c>
      <c r="C456" s="6">
        <v>740</v>
      </c>
      <c r="D456" s="1" t="s">
        <v>318</v>
      </c>
      <c r="E456" s="12" t="s">
        <v>82</v>
      </c>
      <c r="G456" s="6">
        <v>740</v>
      </c>
      <c r="H456" s="1" t="s">
        <v>323</v>
      </c>
      <c r="I456" s="6">
        <v>278</v>
      </c>
      <c r="J456" s="1" t="str">
        <f>VLOOKUP(BUDGET!K456,IE!$A$2:$C$132,3,FALSE)</f>
        <v>Materials &amp; Services</v>
      </c>
      <c r="K456" s="24">
        <v>353</v>
      </c>
      <c r="L456" s="1" t="s">
        <v>112</v>
      </c>
      <c r="M456" s="22">
        <v>1500</v>
      </c>
      <c r="N456" s="22"/>
    </row>
    <row r="457" spans="1:15">
      <c r="A457" s="54">
        <v>20</v>
      </c>
      <c r="B457" s="55" t="s">
        <v>257</v>
      </c>
      <c r="C457" s="6">
        <v>740</v>
      </c>
      <c r="D457" s="1" t="s">
        <v>318</v>
      </c>
      <c r="E457" s="12" t="s">
        <v>82</v>
      </c>
      <c r="G457" s="6">
        <v>740</v>
      </c>
      <c r="H457" s="1" t="s">
        <v>323</v>
      </c>
      <c r="I457" s="6">
        <v>278</v>
      </c>
      <c r="J457" s="1" t="str">
        <f>VLOOKUP(BUDGET!K457,IE!$A$2:$C$132,3,FALSE)</f>
        <v>Materials &amp; Services</v>
      </c>
      <c r="K457" s="24">
        <v>356</v>
      </c>
      <c r="L457" s="1" t="s">
        <v>160</v>
      </c>
      <c r="M457" s="22">
        <v>400</v>
      </c>
      <c r="N457" s="22"/>
    </row>
    <row r="458" spans="1:15">
      <c r="A458" s="54">
        <v>20</v>
      </c>
      <c r="B458" s="55" t="s">
        <v>257</v>
      </c>
      <c r="C458" s="6">
        <v>740</v>
      </c>
      <c r="D458" s="1" t="s">
        <v>318</v>
      </c>
      <c r="E458" s="12">
        <v>74030</v>
      </c>
      <c r="G458" s="6"/>
      <c r="I458" s="6"/>
      <c r="J458" s="1" t="str">
        <f>VLOOKUP(BUDGET!K458,IE!$A$2:$C$132,3,FALSE)</f>
        <v>Capital Expenses</v>
      </c>
      <c r="K458" s="24">
        <v>810</v>
      </c>
      <c r="L458" s="1" t="s">
        <v>182</v>
      </c>
      <c r="M458" s="22">
        <v>25000</v>
      </c>
      <c r="N458" s="22"/>
      <c r="O458" s="1" t="s">
        <v>469</v>
      </c>
    </row>
    <row r="459" spans="1:15">
      <c r="A459" s="54">
        <v>20</v>
      </c>
      <c r="B459" s="55" t="s">
        <v>257</v>
      </c>
      <c r="C459" s="6">
        <v>740</v>
      </c>
      <c r="D459" s="1" t="s">
        <v>318</v>
      </c>
      <c r="E459" s="12" t="s">
        <v>82</v>
      </c>
      <c r="G459" s="6">
        <v>740</v>
      </c>
      <c r="H459" s="1" t="s">
        <v>323</v>
      </c>
      <c r="I459" s="6">
        <v>900</v>
      </c>
      <c r="J459" s="1" t="str">
        <f>VLOOKUP(BUDGET!K459,IE!$A$2:$C$132,3,FALSE)</f>
        <v>Internal Transfer</v>
      </c>
      <c r="K459" s="24">
        <v>904</v>
      </c>
      <c r="L459" s="1" t="s">
        <v>161</v>
      </c>
      <c r="M459" s="22">
        <v>3000</v>
      </c>
      <c r="N459" s="22"/>
    </row>
    <row r="460" spans="1:15">
      <c r="A460" s="54">
        <v>20</v>
      </c>
      <c r="B460" s="55" t="s">
        <v>257</v>
      </c>
      <c r="C460" s="6">
        <v>740</v>
      </c>
      <c r="D460" s="1" t="s">
        <v>318</v>
      </c>
      <c r="E460" s="12" t="s">
        <v>82</v>
      </c>
      <c r="G460" s="6">
        <v>740</v>
      </c>
      <c r="H460" s="1" t="s">
        <v>323</v>
      </c>
      <c r="I460" s="6">
        <v>900</v>
      </c>
      <c r="J460" s="1" t="str">
        <f>VLOOKUP(BUDGET!K460,IE!$A$2:$C$132,3,FALSE)</f>
        <v>Internal Transfer</v>
      </c>
      <c r="K460" s="24">
        <v>905</v>
      </c>
      <c r="L460" s="1" t="s">
        <v>148</v>
      </c>
      <c r="M460" s="22">
        <v>2500</v>
      </c>
      <c r="N460" s="22"/>
    </row>
    <row r="461" spans="1:15">
      <c r="A461" s="54">
        <v>20</v>
      </c>
      <c r="B461" s="55" t="s">
        <v>257</v>
      </c>
      <c r="C461" s="6">
        <v>740</v>
      </c>
      <c r="D461" s="1" t="s">
        <v>318</v>
      </c>
      <c r="E461" s="12" t="s">
        <v>82</v>
      </c>
      <c r="G461" s="6">
        <v>740</v>
      </c>
      <c r="H461" s="1" t="s">
        <v>323</v>
      </c>
      <c r="I461" s="6">
        <v>900</v>
      </c>
      <c r="J461" s="1" t="str">
        <f>VLOOKUP(BUDGET!K461,IE!$A$2:$C$132,3,FALSE)</f>
        <v>Internal Transfer</v>
      </c>
      <c r="K461" s="24">
        <v>906</v>
      </c>
      <c r="L461" s="1" t="s">
        <v>162</v>
      </c>
      <c r="M461" s="22">
        <v>1500</v>
      </c>
      <c r="N461" s="22"/>
    </row>
    <row r="462" spans="1:15">
      <c r="A462" s="6">
        <v>50</v>
      </c>
      <c r="B462" s="1" t="s">
        <v>306</v>
      </c>
      <c r="C462" s="6">
        <v>750</v>
      </c>
      <c r="D462" s="1" t="s">
        <v>324</v>
      </c>
      <c r="E462" s="12" t="s">
        <v>83</v>
      </c>
      <c r="F462" s="1" t="s">
        <v>325</v>
      </c>
      <c r="G462" s="1" t="s">
        <v>12</v>
      </c>
      <c r="I462" s="6">
        <v>117</v>
      </c>
      <c r="J462" s="1" t="str">
        <f>VLOOKUP(BUDGET!K462,IE!$A$2:$C$132,3,FALSE)</f>
        <v>Sales Revenue</v>
      </c>
      <c r="K462" s="24">
        <v>155</v>
      </c>
      <c r="L462" s="1" t="s">
        <v>326</v>
      </c>
      <c r="M462" s="20">
        <v>-25000</v>
      </c>
      <c r="N462" s="20"/>
    </row>
    <row r="463" spans="1:15">
      <c r="A463" s="6">
        <v>50</v>
      </c>
      <c r="B463" s="1" t="s">
        <v>306</v>
      </c>
      <c r="C463" s="6">
        <v>750</v>
      </c>
      <c r="D463" s="1" t="s">
        <v>324</v>
      </c>
      <c r="E463" s="12" t="s">
        <v>84</v>
      </c>
      <c r="G463" s="6">
        <v>750</v>
      </c>
      <c r="H463" s="1" t="s">
        <v>324</v>
      </c>
      <c r="I463" s="6">
        <v>201</v>
      </c>
      <c r="J463" s="1" t="str">
        <f>VLOOKUP(BUDGET!K463,IE!$A$2:$C$132,3,FALSE)</f>
        <v>Salaries &amp; Wages</v>
      </c>
      <c r="K463" s="24">
        <v>210</v>
      </c>
      <c r="L463" s="1" t="s">
        <v>117</v>
      </c>
      <c r="M463" s="22">
        <v>165454</v>
      </c>
      <c r="N463" s="22"/>
      <c r="O463" s="1" t="s">
        <v>474</v>
      </c>
    </row>
    <row r="464" spans="1:15">
      <c r="A464" s="6">
        <v>50</v>
      </c>
      <c r="B464" s="1" t="s">
        <v>306</v>
      </c>
      <c r="C464" s="6">
        <v>750</v>
      </c>
      <c r="D464" s="1" t="s">
        <v>324</v>
      </c>
      <c r="E464" s="12" t="s">
        <v>84</v>
      </c>
      <c r="G464" s="6">
        <v>750</v>
      </c>
      <c r="H464" s="1" t="s">
        <v>324</v>
      </c>
      <c r="I464" s="6">
        <v>204</v>
      </c>
      <c r="J464" s="1" t="str">
        <f>VLOOKUP(BUDGET!K464,IE!$A$2:$C$132,3,FALSE)</f>
        <v>Salaries &amp; Wages</v>
      </c>
      <c r="K464" s="24">
        <v>240</v>
      </c>
      <c r="L464" s="1" t="s">
        <v>118</v>
      </c>
      <c r="M464" s="22">
        <f>M463*12%</f>
        <v>19854.48</v>
      </c>
      <c r="N464" s="22"/>
    </row>
    <row r="465" spans="1:14">
      <c r="A465" s="6">
        <v>50</v>
      </c>
      <c r="B465" s="1" t="s">
        <v>306</v>
      </c>
      <c r="C465" s="6">
        <v>750</v>
      </c>
      <c r="D465" s="1" t="s">
        <v>324</v>
      </c>
      <c r="E465" s="12" t="s">
        <v>84</v>
      </c>
      <c r="G465" s="6">
        <v>750</v>
      </c>
      <c r="H465" s="1" t="s">
        <v>324</v>
      </c>
      <c r="I465" s="6">
        <v>205</v>
      </c>
      <c r="J465" s="1" t="str">
        <f>VLOOKUP(BUDGET!K465,IE!$A$2:$C$132,3,FALSE)</f>
        <v>Salaries &amp; Wages</v>
      </c>
      <c r="K465" s="24">
        <v>252</v>
      </c>
      <c r="L465" s="1" t="s">
        <v>180</v>
      </c>
      <c r="M465" s="22">
        <v>1000</v>
      </c>
      <c r="N465" s="22"/>
    </row>
    <row r="466" spans="1:14">
      <c r="A466" s="6">
        <v>50</v>
      </c>
      <c r="B466" s="1" t="s">
        <v>306</v>
      </c>
      <c r="C466" s="6">
        <v>750</v>
      </c>
      <c r="D466" s="1" t="s">
        <v>324</v>
      </c>
      <c r="E466" s="12" t="s">
        <v>84</v>
      </c>
      <c r="G466" s="6">
        <v>750</v>
      </c>
      <c r="H466" s="1" t="s">
        <v>324</v>
      </c>
      <c r="I466" s="6">
        <v>205</v>
      </c>
      <c r="J466" s="1" t="str">
        <f>VLOOKUP(BUDGET!K466,IE!$A$2:$C$132,3,FALSE)</f>
        <v>Salaries &amp; Wages</v>
      </c>
      <c r="K466" s="24">
        <v>253</v>
      </c>
      <c r="L466" s="1" t="s">
        <v>136</v>
      </c>
      <c r="M466" s="22">
        <v>2500</v>
      </c>
      <c r="N466" s="22"/>
    </row>
    <row r="467" spans="1:14">
      <c r="A467" s="6">
        <v>50</v>
      </c>
      <c r="B467" s="1" t="s">
        <v>306</v>
      </c>
      <c r="C467" s="6">
        <v>750</v>
      </c>
      <c r="D467" s="1" t="s">
        <v>324</v>
      </c>
      <c r="E467" s="12" t="s">
        <v>84</v>
      </c>
      <c r="G467" s="6">
        <v>750</v>
      </c>
      <c r="H467" s="1" t="s">
        <v>324</v>
      </c>
      <c r="I467" s="6">
        <v>205</v>
      </c>
      <c r="J467" s="1" t="str">
        <f>VLOOKUP(BUDGET!K467,IE!$A$2:$C$132,3,FALSE)</f>
        <v>Salaries &amp; Wages</v>
      </c>
      <c r="K467" s="24">
        <v>255</v>
      </c>
      <c r="L467" s="1" t="s">
        <v>138</v>
      </c>
      <c r="M467" s="22">
        <v>900</v>
      </c>
      <c r="N467" s="22"/>
    </row>
    <row r="468" spans="1:14">
      <c r="A468" s="6">
        <v>50</v>
      </c>
      <c r="B468" s="1" t="s">
        <v>306</v>
      </c>
      <c r="C468" s="6">
        <v>750</v>
      </c>
      <c r="D468" s="1" t="s">
        <v>324</v>
      </c>
      <c r="E468" s="12" t="s">
        <v>84</v>
      </c>
      <c r="G468" s="6">
        <v>750</v>
      </c>
      <c r="H468" s="1" t="s">
        <v>324</v>
      </c>
      <c r="I468" s="6">
        <v>205</v>
      </c>
      <c r="J468" s="1" t="str">
        <f>VLOOKUP(BUDGET!K468,IE!$A$2:$C$132,3,FALSE)</f>
        <v>Salaries &amp; Wages</v>
      </c>
      <c r="K468" s="24">
        <v>256</v>
      </c>
      <c r="L468" s="1" t="s">
        <v>119</v>
      </c>
      <c r="M468" s="22">
        <f>(M463+M464)*1.5%</f>
        <v>2779.6271999999999</v>
      </c>
      <c r="N468" s="22"/>
    </row>
    <row r="469" spans="1:14">
      <c r="A469" s="6">
        <v>50</v>
      </c>
      <c r="B469" s="1" t="s">
        <v>306</v>
      </c>
      <c r="C469" s="6">
        <v>750</v>
      </c>
      <c r="D469" s="1" t="s">
        <v>324</v>
      </c>
      <c r="E469" s="12" t="s">
        <v>84</v>
      </c>
      <c r="G469" s="6">
        <v>750</v>
      </c>
      <c r="H469" s="1" t="s">
        <v>324</v>
      </c>
      <c r="I469" s="6">
        <v>211</v>
      </c>
      <c r="J469" s="1" t="str">
        <f>VLOOKUP(BUDGET!K469,IE!$A$2:$C$132,3,FALSE)</f>
        <v>Costs of Goods</v>
      </c>
      <c r="K469" s="24">
        <v>282</v>
      </c>
      <c r="L469" s="1" t="s">
        <v>327</v>
      </c>
      <c r="M469" s="22">
        <v>2500</v>
      </c>
      <c r="N469" s="22"/>
    </row>
    <row r="470" spans="1:14">
      <c r="A470" s="6">
        <v>50</v>
      </c>
      <c r="B470" s="1" t="s">
        <v>306</v>
      </c>
      <c r="C470" s="6">
        <v>750</v>
      </c>
      <c r="D470" s="1" t="s">
        <v>324</v>
      </c>
      <c r="E470" s="12" t="s">
        <v>84</v>
      </c>
      <c r="G470" s="6">
        <v>750</v>
      </c>
      <c r="H470" s="1" t="s">
        <v>324</v>
      </c>
      <c r="I470" s="6">
        <v>250</v>
      </c>
      <c r="J470" s="1" t="str">
        <f>VLOOKUP(BUDGET!K470,IE!$A$2:$C$132,3,FALSE)</f>
        <v>Materials &amp; Services</v>
      </c>
      <c r="K470" s="24">
        <v>335</v>
      </c>
      <c r="L470" s="1" t="s">
        <v>110</v>
      </c>
      <c r="M470" s="22">
        <v>2500</v>
      </c>
      <c r="N470" s="22"/>
    </row>
    <row r="471" spans="1:14">
      <c r="A471" s="6">
        <v>50</v>
      </c>
      <c r="B471" s="1" t="s">
        <v>306</v>
      </c>
      <c r="C471" s="6">
        <v>750</v>
      </c>
      <c r="D471" s="1" t="s">
        <v>324</v>
      </c>
      <c r="E471" s="12" t="s">
        <v>84</v>
      </c>
      <c r="G471" s="6">
        <v>750</v>
      </c>
      <c r="H471" s="1" t="s">
        <v>324</v>
      </c>
      <c r="I471" s="6">
        <v>250</v>
      </c>
      <c r="J471" s="1" t="str">
        <f>VLOOKUP(BUDGET!K471,IE!$A$2:$C$132,3,FALSE)</f>
        <v>Materials &amp; Services</v>
      </c>
      <c r="K471" s="24">
        <v>337</v>
      </c>
      <c r="L471" s="1" t="s">
        <v>328</v>
      </c>
      <c r="M471" s="22">
        <v>150</v>
      </c>
      <c r="N471" s="22"/>
    </row>
    <row r="472" spans="1:14">
      <c r="A472" s="6">
        <v>50</v>
      </c>
      <c r="B472" s="1" t="s">
        <v>306</v>
      </c>
      <c r="C472" s="6">
        <v>750</v>
      </c>
      <c r="D472" s="1" t="s">
        <v>324</v>
      </c>
      <c r="E472" s="12" t="s">
        <v>84</v>
      </c>
      <c r="G472" s="6">
        <v>750</v>
      </c>
      <c r="H472" s="1" t="s">
        <v>324</v>
      </c>
      <c r="I472" s="6">
        <v>250</v>
      </c>
      <c r="J472" s="1" t="str">
        <f>VLOOKUP(BUDGET!K472,IE!$A$2:$C$132,3,FALSE)</f>
        <v>Materials &amp; Services</v>
      </c>
      <c r="K472" s="24">
        <v>339</v>
      </c>
      <c r="L472" s="1" t="s">
        <v>274</v>
      </c>
      <c r="M472" s="22">
        <v>1400</v>
      </c>
      <c r="N472" s="22"/>
    </row>
    <row r="473" spans="1:14">
      <c r="A473" s="6">
        <v>50</v>
      </c>
      <c r="B473" s="1" t="s">
        <v>306</v>
      </c>
      <c r="C473" s="6">
        <v>750</v>
      </c>
      <c r="D473" s="1" t="s">
        <v>324</v>
      </c>
      <c r="E473" s="12" t="s">
        <v>84</v>
      </c>
      <c r="G473" s="6">
        <v>750</v>
      </c>
      <c r="H473" s="1" t="s">
        <v>324</v>
      </c>
      <c r="I473" s="6">
        <v>250</v>
      </c>
      <c r="J473" s="1" t="str">
        <f>VLOOKUP(BUDGET!K473,IE!$A$2:$C$132,3,FALSE)</f>
        <v>Materials &amp; Services</v>
      </c>
      <c r="K473" s="24">
        <v>350</v>
      </c>
      <c r="L473" s="1" t="s">
        <v>121</v>
      </c>
      <c r="M473" s="22">
        <v>500</v>
      </c>
      <c r="N473" s="22"/>
    </row>
    <row r="474" spans="1:14">
      <c r="A474" s="6">
        <v>50</v>
      </c>
      <c r="B474" s="1" t="s">
        <v>306</v>
      </c>
      <c r="C474" s="6">
        <v>750</v>
      </c>
      <c r="D474" s="1" t="s">
        <v>324</v>
      </c>
      <c r="E474" s="12" t="s">
        <v>84</v>
      </c>
      <c r="G474" s="6">
        <v>750</v>
      </c>
      <c r="H474" s="1" t="s">
        <v>324</v>
      </c>
      <c r="I474" s="6">
        <v>250</v>
      </c>
      <c r="J474" s="1" t="str">
        <f>VLOOKUP(BUDGET!K474,IE!$A$2:$C$132,3,FALSE)</f>
        <v>Materials &amp; Services</v>
      </c>
      <c r="K474" s="24">
        <v>358</v>
      </c>
      <c r="L474" s="1" t="s">
        <v>111</v>
      </c>
      <c r="M474" s="22">
        <v>1500</v>
      </c>
      <c r="N474" s="22"/>
    </row>
    <row r="475" spans="1:14">
      <c r="A475" s="6">
        <v>50</v>
      </c>
      <c r="B475" s="1" t="s">
        <v>306</v>
      </c>
      <c r="C475" s="6">
        <v>750</v>
      </c>
      <c r="D475" s="1" t="s">
        <v>324</v>
      </c>
      <c r="E475" s="12" t="s">
        <v>84</v>
      </c>
      <c r="G475" s="6">
        <v>750</v>
      </c>
      <c r="H475" s="1" t="s">
        <v>324</v>
      </c>
      <c r="I475" s="6">
        <v>250</v>
      </c>
      <c r="J475" s="1" t="str">
        <f>VLOOKUP(BUDGET!K475,IE!$A$2:$C$132,3,FALSE)</f>
        <v>Materials &amp; Services</v>
      </c>
      <c r="K475" s="24">
        <v>366</v>
      </c>
      <c r="L475" s="1" t="s">
        <v>142</v>
      </c>
      <c r="M475" s="22">
        <v>1000</v>
      </c>
      <c r="N475" s="22"/>
    </row>
    <row r="476" spans="1:14">
      <c r="A476" s="6">
        <v>50</v>
      </c>
      <c r="B476" s="1" t="s">
        <v>306</v>
      </c>
      <c r="C476" s="6">
        <v>750</v>
      </c>
      <c r="D476" s="1" t="s">
        <v>324</v>
      </c>
      <c r="E476" s="12" t="s">
        <v>84</v>
      </c>
      <c r="G476" s="6">
        <v>750</v>
      </c>
      <c r="H476" s="1" t="s">
        <v>324</v>
      </c>
      <c r="I476" s="6">
        <v>250</v>
      </c>
      <c r="J476" s="1" t="str">
        <f>VLOOKUP(BUDGET!K476,IE!$A$2:$C$132,3,FALSE)</f>
        <v>Materials &amp; Services</v>
      </c>
      <c r="K476" s="24">
        <v>369</v>
      </c>
      <c r="L476" s="1" t="s">
        <v>123</v>
      </c>
      <c r="M476" s="22">
        <v>1200</v>
      </c>
      <c r="N476" s="22"/>
    </row>
    <row r="477" spans="1:14">
      <c r="A477" s="6">
        <v>50</v>
      </c>
      <c r="B477" s="1" t="s">
        <v>306</v>
      </c>
      <c r="C477" s="6">
        <v>750</v>
      </c>
      <c r="D477" s="1" t="s">
        <v>324</v>
      </c>
      <c r="E477" s="12" t="s">
        <v>84</v>
      </c>
      <c r="G477" s="6">
        <v>750</v>
      </c>
      <c r="H477" s="1" t="s">
        <v>324</v>
      </c>
      <c r="I477" s="6">
        <v>250</v>
      </c>
      <c r="J477" s="1" t="str">
        <f>VLOOKUP(BUDGET!K477,IE!$A$2:$C$132,3,FALSE)</f>
        <v>Materials &amp; Services</v>
      </c>
      <c r="K477" s="24">
        <v>371</v>
      </c>
      <c r="L477" s="1" t="s">
        <v>156</v>
      </c>
      <c r="M477" s="22">
        <v>2000</v>
      </c>
      <c r="N477" s="22"/>
    </row>
    <row r="478" spans="1:14">
      <c r="A478" s="6">
        <v>50</v>
      </c>
      <c r="B478" s="1" t="s">
        <v>306</v>
      </c>
      <c r="C478" s="6">
        <v>750</v>
      </c>
      <c r="D478" s="1" t="s">
        <v>324</v>
      </c>
      <c r="E478" s="12" t="s">
        <v>84</v>
      </c>
      <c r="G478" s="6">
        <v>750</v>
      </c>
      <c r="H478" s="1" t="s">
        <v>324</v>
      </c>
      <c r="I478" s="6">
        <v>268</v>
      </c>
      <c r="J478" s="1" t="str">
        <f>VLOOKUP(BUDGET!K478,IE!$A$2:$C$132,3,FALSE)</f>
        <v>Motor Vehicle Expenses</v>
      </c>
      <c r="K478" s="24">
        <v>394</v>
      </c>
      <c r="L478" s="1" t="s">
        <v>158</v>
      </c>
      <c r="M478" s="22">
        <v>1500</v>
      </c>
      <c r="N478" s="22"/>
    </row>
    <row r="479" spans="1:14">
      <c r="A479" s="6">
        <v>50</v>
      </c>
      <c r="B479" s="1" t="s">
        <v>306</v>
      </c>
      <c r="C479" s="6">
        <v>750</v>
      </c>
      <c r="D479" s="1" t="s">
        <v>324</v>
      </c>
      <c r="E479" s="12" t="s">
        <v>84</v>
      </c>
      <c r="G479" s="6">
        <v>750</v>
      </c>
      <c r="H479" s="1" t="s">
        <v>324</v>
      </c>
      <c r="I479" s="6">
        <v>268</v>
      </c>
      <c r="J479" s="1" t="str">
        <f>VLOOKUP(BUDGET!K479,IE!$A$2:$C$132,3,FALSE)</f>
        <v>Motor Vehicle Expenses</v>
      </c>
      <c r="K479" s="24">
        <v>395</v>
      </c>
      <c r="L479" s="1" t="s">
        <v>159</v>
      </c>
      <c r="M479" s="22">
        <v>500</v>
      </c>
      <c r="N479" s="22"/>
    </row>
    <row r="480" spans="1:14">
      <c r="A480" s="6">
        <v>50</v>
      </c>
      <c r="B480" s="1" t="s">
        <v>306</v>
      </c>
      <c r="C480" s="6">
        <v>750</v>
      </c>
      <c r="D480" s="1" t="s">
        <v>324</v>
      </c>
      <c r="E480" s="12" t="s">
        <v>84</v>
      </c>
      <c r="G480" s="6">
        <v>750</v>
      </c>
      <c r="H480" s="1" t="s">
        <v>324</v>
      </c>
      <c r="I480" s="6">
        <v>270</v>
      </c>
      <c r="J480" s="1" t="str">
        <f>VLOOKUP(BUDGET!K480,IE!$A$2:$C$132,3,FALSE)</f>
        <v>Materials &amp; Services</v>
      </c>
      <c r="K480" s="24">
        <v>333</v>
      </c>
      <c r="L480" s="1" t="s">
        <v>169</v>
      </c>
      <c r="M480" s="22">
        <v>12500</v>
      </c>
      <c r="N480" s="22"/>
    </row>
    <row r="481" spans="1:14">
      <c r="A481" s="6">
        <v>50</v>
      </c>
      <c r="B481" s="1" t="s">
        <v>306</v>
      </c>
      <c r="C481" s="6">
        <v>750</v>
      </c>
      <c r="D481" s="1" t="s">
        <v>324</v>
      </c>
      <c r="E481" s="12" t="s">
        <v>84</v>
      </c>
      <c r="G481" s="6">
        <v>750</v>
      </c>
      <c r="H481" s="1" t="s">
        <v>324</v>
      </c>
      <c r="I481" s="6">
        <v>272</v>
      </c>
      <c r="J481" s="1" t="str">
        <f>VLOOKUP(BUDGET!K481,IE!$A$2:$C$132,3,FALSE)</f>
        <v>Property Expenses</v>
      </c>
      <c r="K481" s="24">
        <v>380</v>
      </c>
      <c r="L481" s="1" t="s">
        <v>127</v>
      </c>
      <c r="M481" s="22">
        <v>1500</v>
      </c>
      <c r="N481" s="22"/>
    </row>
    <row r="482" spans="1:14">
      <c r="A482" s="6">
        <v>50</v>
      </c>
      <c r="B482" s="1" t="s">
        <v>306</v>
      </c>
      <c r="C482" s="6">
        <v>750</v>
      </c>
      <c r="D482" s="1" t="s">
        <v>324</v>
      </c>
      <c r="E482" s="12" t="s">
        <v>84</v>
      </c>
      <c r="G482" s="6">
        <v>750</v>
      </c>
      <c r="H482" s="1" t="s">
        <v>324</v>
      </c>
      <c r="I482" s="6">
        <v>272</v>
      </c>
      <c r="J482" s="1" t="str">
        <f>VLOOKUP(BUDGET!K482,IE!$A$2:$C$132,3,FALSE)</f>
        <v>Property Expenses</v>
      </c>
      <c r="K482" s="24">
        <v>382</v>
      </c>
      <c r="L482" s="1" t="s">
        <v>144</v>
      </c>
      <c r="M482" s="22">
        <v>2000</v>
      </c>
      <c r="N482" s="22"/>
    </row>
    <row r="483" spans="1:14">
      <c r="A483" s="6">
        <v>50</v>
      </c>
      <c r="B483" s="1" t="s">
        <v>306</v>
      </c>
      <c r="C483" s="6">
        <v>750</v>
      </c>
      <c r="D483" s="1" t="s">
        <v>324</v>
      </c>
      <c r="E483" s="12" t="s">
        <v>84</v>
      </c>
      <c r="G483" s="6">
        <v>750</v>
      </c>
      <c r="H483" s="1" t="s">
        <v>324</v>
      </c>
      <c r="I483" s="6">
        <v>278</v>
      </c>
      <c r="J483" s="1" t="str">
        <f>VLOOKUP(BUDGET!K483,IE!$A$2:$C$132,3,FALSE)</f>
        <v>Materials &amp; Services</v>
      </c>
      <c r="K483" s="24">
        <v>353</v>
      </c>
      <c r="L483" s="1" t="s">
        <v>112</v>
      </c>
      <c r="M483" s="22">
        <v>12000</v>
      </c>
      <c r="N483" s="22"/>
    </row>
    <row r="484" spans="1:14">
      <c r="A484" s="6">
        <v>50</v>
      </c>
      <c r="B484" s="1" t="s">
        <v>306</v>
      </c>
      <c r="C484" s="6">
        <v>750</v>
      </c>
      <c r="D484" s="1" t="s">
        <v>324</v>
      </c>
      <c r="E484" s="12" t="s">
        <v>84</v>
      </c>
      <c r="G484" s="6">
        <v>750</v>
      </c>
      <c r="H484" s="1" t="s">
        <v>324</v>
      </c>
      <c r="I484" s="6">
        <v>278</v>
      </c>
      <c r="J484" s="1" t="str">
        <f>VLOOKUP(BUDGET!K484,IE!$A$2:$C$132,3,FALSE)</f>
        <v>Materials &amp; Services</v>
      </c>
      <c r="K484" s="24">
        <v>356</v>
      </c>
      <c r="L484" s="1" t="s">
        <v>160</v>
      </c>
      <c r="M484" s="22">
        <v>1400</v>
      </c>
      <c r="N484" s="22"/>
    </row>
    <row r="485" spans="1:14">
      <c r="A485" s="6">
        <v>50</v>
      </c>
      <c r="B485" s="1" t="s">
        <v>306</v>
      </c>
      <c r="C485" s="6">
        <v>750</v>
      </c>
      <c r="D485" s="1" t="s">
        <v>324</v>
      </c>
      <c r="E485" s="12" t="s">
        <v>84</v>
      </c>
      <c r="G485" s="6">
        <v>750</v>
      </c>
      <c r="H485" s="1" t="s">
        <v>324</v>
      </c>
      <c r="I485" s="6">
        <v>810</v>
      </c>
      <c r="J485" s="1" t="str">
        <f>VLOOKUP(BUDGET!K485,IE!$A$2:$C$132,3,FALSE)</f>
        <v>Capital Expenses</v>
      </c>
      <c r="K485" s="24">
        <v>810</v>
      </c>
      <c r="L485" s="1" t="s">
        <v>182</v>
      </c>
      <c r="M485" s="22"/>
      <c r="N485" s="22"/>
    </row>
    <row r="486" spans="1:14">
      <c r="A486" s="6">
        <v>50</v>
      </c>
      <c r="B486" s="1" t="s">
        <v>306</v>
      </c>
      <c r="C486" s="6">
        <v>750</v>
      </c>
      <c r="D486" s="1" t="s">
        <v>324</v>
      </c>
      <c r="E486" s="12" t="s">
        <v>84</v>
      </c>
      <c r="G486" s="6">
        <v>750</v>
      </c>
      <c r="H486" s="1" t="s">
        <v>324</v>
      </c>
      <c r="I486" s="6">
        <v>900</v>
      </c>
      <c r="J486" s="1" t="str">
        <f>VLOOKUP(BUDGET!K486,IE!$A$2:$C$132,3,FALSE)</f>
        <v>Internal Transfer</v>
      </c>
      <c r="K486" s="24">
        <v>904</v>
      </c>
      <c r="L486" s="1" t="s">
        <v>161</v>
      </c>
      <c r="M486" s="22">
        <v>4000</v>
      </c>
      <c r="N486" s="22"/>
    </row>
    <row r="487" spans="1:14">
      <c r="A487" s="6">
        <v>50</v>
      </c>
      <c r="B487" s="1" t="s">
        <v>306</v>
      </c>
      <c r="C487" s="6">
        <v>750</v>
      </c>
      <c r="D487" s="1" t="s">
        <v>324</v>
      </c>
      <c r="E487" s="12" t="s">
        <v>84</v>
      </c>
      <c r="G487" s="6">
        <v>750</v>
      </c>
      <c r="H487" s="1" t="s">
        <v>324</v>
      </c>
      <c r="I487" s="6">
        <v>900</v>
      </c>
      <c r="J487" s="1" t="str">
        <f>VLOOKUP(BUDGET!K487,IE!$A$2:$C$132,3,FALSE)</f>
        <v>Internal Transfer</v>
      </c>
      <c r="K487" s="24">
        <v>905</v>
      </c>
      <c r="L487" s="1" t="s">
        <v>148</v>
      </c>
      <c r="M487" s="22">
        <v>2500</v>
      </c>
      <c r="N487" s="22"/>
    </row>
    <row r="488" spans="1:14">
      <c r="A488" s="6">
        <v>50</v>
      </c>
      <c r="B488" s="1" t="s">
        <v>306</v>
      </c>
      <c r="C488" s="6">
        <v>750</v>
      </c>
      <c r="D488" s="1" t="s">
        <v>324</v>
      </c>
      <c r="E488" s="12" t="s">
        <v>84</v>
      </c>
      <c r="G488" s="6">
        <v>750</v>
      </c>
      <c r="H488" s="1" t="s">
        <v>324</v>
      </c>
      <c r="I488" s="6">
        <v>900</v>
      </c>
      <c r="J488" s="1" t="str">
        <f>VLOOKUP(BUDGET!K488,IE!$A$2:$C$132,3,FALSE)</f>
        <v>Internal Transfer</v>
      </c>
      <c r="K488" s="24">
        <v>906</v>
      </c>
      <c r="L488" s="1" t="s">
        <v>162</v>
      </c>
      <c r="M488" s="22">
        <f>-M48+-M258+-M282+-M411+-M428+-M598+-M461+-M510+-M547</f>
        <v>-48350</v>
      </c>
      <c r="N488" s="22"/>
    </row>
    <row r="489" spans="1:14">
      <c r="A489" s="6">
        <v>50</v>
      </c>
      <c r="B489" s="1" t="s">
        <v>306</v>
      </c>
      <c r="C489" s="6">
        <v>756</v>
      </c>
      <c r="D489" s="1" t="s">
        <v>329</v>
      </c>
      <c r="E489" s="12" t="s">
        <v>85</v>
      </c>
      <c r="F489" s="1" t="s">
        <v>330</v>
      </c>
      <c r="G489" s="1" t="s">
        <v>12</v>
      </c>
      <c r="I489" s="6">
        <v>116</v>
      </c>
      <c r="J489" s="1" t="str">
        <f>VLOOKUP(BUDGET!K489,IE!$A$2:$C$132,3,FALSE)</f>
        <v>Sales Revenue</v>
      </c>
      <c r="K489" s="24">
        <v>151</v>
      </c>
      <c r="L489" s="1" t="s">
        <v>329</v>
      </c>
      <c r="M489" s="20">
        <v>-450000</v>
      </c>
      <c r="N489" s="20"/>
    </row>
    <row r="490" spans="1:14">
      <c r="A490" s="6">
        <v>50</v>
      </c>
      <c r="B490" s="1" t="s">
        <v>306</v>
      </c>
      <c r="C490" s="6">
        <v>756</v>
      </c>
      <c r="D490" s="1" t="s">
        <v>329</v>
      </c>
      <c r="E490" s="12" t="s">
        <v>86</v>
      </c>
      <c r="G490" s="6">
        <v>756</v>
      </c>
      <c r="H490" s="1" t="s">
        <v>329</v>
      </c>
      <c r="I490" s="6">
        <v>250</v>
      </c>
      <c r="J490" s="1" t="str">
        <f>VLOOKUP(BUDGET!K490,IE!$A$2:$C$132,3,FALSE)</f>
        <v>Materials &amp; Services</v>
      </c>
      <c r="K490" s="24">
        <v>335</v>
      </c>
      <c r="L490" s="1" t="s">
        <v>110</v>
      </c>
      <c r="M490" s="22">
        <v>26000</v>
      </c>
      <c r="N490" s="22"/>
    </row>
    <row r="491" spans="1:14">
      <c r="A491" s="6">
        <v>50</v>
      </c>
      <c r="B491" s="1" t="s">
        <v>306</v>
      </c>
      <c r="C491" s="6">
        <v>756</v>
      </c>
      <c r="D491" s="1" t="s">
        <v>329</v>
      </c>
      <c r="E491" s="12" t="s">
        <v>86</v>
      </c>
      <c r="G491" s="6">
        <v>756</v>
      </c>
      <c r="H491" s="1" t="s">
        <v>329</v>
      </c>
      <c r="I491" s="6">
        <v>255</v>
      </c>
      <c r="J491" s="1" t="str">
        <f>VLOOKUP(BUDGET!K491,IE!$A$2:$C$132,3,FALSE)</f>
        <v>Materials &amp; Services</v>
      </c>
      <c r="K491" s="24">
        <v>325</v>
      </c>
      <c r="L491" s="1" t="s">
        <v>168</v>
      </c>
      <c r="M491" s="22">
        <v>24000</v>
      </c>
      <c r="N491" s="22"/>
    </row>
    <row r="492" spans="1:14">
      <c r="A492" s="6">
        <v>50</v>
      </c>
      <c r="B492" s="1" t="s">
        <v>306</v>
      </c>
      <c r="C492" s="6">
        <v>756</v>
      </c>
      <c r="D492" s="1" t="s">
        <v>329</v>
      </c>
      <c r="E492" s="12" t="s">
        <v>86</v>
      </c>
      <c r="G492" s="6">
        <v>756</v>
      </c>
      <c r="H492" s="1" t="s">
        <v>329</v>
      </c>
      <c r="I492" s="6">
        <v>262</v>
      </c>
      <c r="J492" s="1" t="str">
        <f>VLOOKUP(BUDGET!K492,IE!$A$2:$C$132,3,FALSE)</f>
        <v>Materials &amp; Services</v>
      </c>
      <c r="K492" s="24">
        <v>345</v>
      </c>
      <c r="L492" s="1" t="s">
        <v>193</v>
      </c>
      <c r="M492" s="22">
        <v>40000</v>
      </c>
      <c r="N492" s="22"/>
    </row>
    <row r="493" spans="1:14">
      <c r="A493" s="6">
        <v>50</v>
      </c>
      <c r="B493" s="1" t="s">
        <v>306</v>
      </c>
      <c r="C493" s="6">
        <v>756</v>
      </c>
      <c r="D493" s="1" t="s">
        <v>329</v>
      </c>
      <c r="E493" s="12" t="s">
        <v>86</v>
      </c>
      <c r="G493" s="6">
        <v>756</v>
      </c>
      <c r="H493" s="1" t="s">
        <v>329</v>
      </c>
      <c r="I493" s="6">
        <v>270</v>
      </c>
      <c r="J493" s="1" t="str">
        <f>VLOOKUP(BUDGET!K493,IE!$A$2:$C$132,3,FALSE)</f>
        <v>Materials &amp; Services</v>
      </c>
      <c r="K493" s="24">
        <v>333</v>
      </c>
      <c r="L493" s="1" t="s">
        <v>169</v>
      </c>
      <c r="M493" s="22">
        <v>1500</v>
      </c>
      <c r="N493" s="22"/>
    </row>
    <row r="494" spans="1:14">
      <c r="A494" s="6">
        <v>50</v>
      </c>
      <c r="B494" s="1" t="s">
        <v>306</v>
      </c>
      <c r="C494" s="6">
        <v>756</v>
      </c>
      <c r="D494" s="1" t="s">
        <v>329</v>
      </c>
      <c r="E494" s="12" t="s">
        <v>86</v>
      </c>
      <c r="G494" s="6">
        <v>756</v>
      </c>
      <c r="H494" s="1" t="s">
        <v>329</v>
      </c>
      <c r="I494" s="6">
        <v>278</v>
      </c>
      <c r="J494" s="1" t="str">
        <f>VLOOKUP(BUDGET!K494,IE!$A$2:$C$132,3,FALSE)</f>
        <v>Materials &amp; Services</v>
      </c>
      <c r="K494" s="24">
        <v>353</v>
      </c>
      <c r="L494" s="1" t="s">
        <v>112</v>
      </c>
      <c r="M494" s="22">
        <v>200000</v>
      </c>
      <c r="N494" s="22"/>
    </row>
    <row r="495" spans="1:14">
      <c r="A495" s="6">
        <v>50</v>
      </c>
      <c r="B495" s="1" t="s">
        <v>306</v>
      </c>
      <c r="C495" s="6">
        <v>756</v>
      </c>
      <c r="D495" s="1" t="s">
        <v>329</v>
      </c>
      <c r="E495" s="12" t="s">
        <v>87</v>
      </c>
      <c r="F495" s="1" t="s">
        <v>331</v>
      </c>
      <c r="G495" s="1" t="s">
        <v>12</v>
      </c>
      <c r="I495" s="6">
        <v>900</v>
      </c>
      <c r="J495" s="1" t="str">
        <f>VLOOKUP(BUDGET!K495,IE!$A$2:$C$132,3,FALSE)</f>
        <v>Internal Transfer</v>
      </c>
      <c r="K495" s="24">
        <v>908</v>
      </c>
      <c r="L495" s="1" t="s">
        <v>279</v>
      </c>
      <c r="M495" s="22">
        <v>15000</v>
      </c>
      <c r="N495" s="22"/>
    </row>
    <row r="496" spans="1:14">
      <c r="A496" s="6">
        <v>50</v>
      </c>
      <c r="B496" s="1" t="s">
        <v>306</v>
      </c>
      <c r="C496" s="6">
        <v>758</v>
      </c>
      <c r="D496" s="1" t="s">
        <v>192</v>
      </c>
      <c r="E496" s="12" t="s">
        <v>88</v>
      </c>
      <c r="F496" s="1" t="s">
        <v>332</v>
      </c>
      <c r="G496" s="1" t="s">
        <v>12</v>
      </c>
      <c r="I496" s="6">
        <v>120</v>
      </c>
      <c r="J496" s="1" t="str">
        <f>VLOOKUP(BUDGET!K496,IE!$A$2:$C$132,3,FALSE)</f>
        <v>Sales Revenue</v>
      </c>
      <c r="K496" s="24">
        <v>160</v>
      </c>
      <c r="L496" s="1" t="s">
        <v>253</v>
      </c>
      <c r="M496" s="20">
        <v>-120000</v>
      </c>
      <c r="N496" s="20"/>
    </row>
    <row r="497" spans="1:15">
      <c r="A497" s="6">
        <v>50</v>
      </c>
      <c r="B497" s="1" t="s">
        <v>306</v>
      </c>
      <c r="C497" s="6">
        <v>758</v>
      </c>
      <c r="D497" s="1" t="s">
        <v>192</v>
      </c>
      <c r="E497" s="12" t="s">
        <v>89</v>
      </c>
      <c r="G497" s="6">
        <v>758</v>
      </c>
      <c r="H497" s="1" t="s">
        <v>333</v>
      </c>
      <c r="I497" s="6">
        <v>201</v>
      </c>
      <c r="J497" s="1" t="str">
        <f>VLOOKUP(BUDGET!K497,IE!$A$2:$C$132,3,FALSE)</f>
        <v>Salaries &amp; Wages</v>
      </c>
      <c r="K497" s="24">
        <v>210</v>
      </c>
      <c r="L497" s="1" t="s">
        <v>117</v>
      </c>
      <c r="M497" s="22"/>
      <c r="N497" s="22"/>
    </row>
    <row r="498" spans="1:15">
      <c r="A498" s="6">
        <v>50</v>
      </c>
      <c r="B498" s="1" t="s">
        <v>306</v>
      </c>
      <c r="C498" s="6">
        <v>758</v>
      </c>
      <c r="D498" s="1" t="s">
        <v>192</v>
      </c>
      <c r="E498" s="12" t="s">
        <v>89</v>
      </c>
      <c r="G498" s="6">
        <v>758</v>
      </c>
      <c r="H498" s="1" t="s">
        <v>333</v>
      </c>
      <c r="I498" s="6">
        <v>204</v>
      </c>
      <c r="J498" s="1" t="str">
        <f>VLOOKUP(BUDGET!K498,IE!$A$2:$C$132,3,FALSE)</f>
        <v>Salaries &amp; Wages</v>
      </c>
      <c r="K498" s="24">
        <v>240</v>
      </c>
      <c r="L498" s="1" t="s">
        <v>118</v>
      </c>
      <c r="M498" s="22">
        <f>M497*12%</f>
        <v>0</v>
      </c>
      <c r="N498" s="22"/>
    </row>
    <row r="499" spans="1:15">
      <c r="A499" s="6">
        <v>50</v>
      </c>
      <c r="B499" s="1" t="s">
        <v>306</v>
      </c>
      <c r="C499" s="6">
        <v>758</v>
      </c>
      <c r="D499" s="1" t="s">
        <v>192</v>
      </c>
      <c r="E499" s="12" t="s">
        <v>89</v>
      </c>
      <c r="G499" s="6">
        <v>758</v>
      </c>
      <c r="H499" s="1" t="s">
        <v>333</v>
      </c>
      <c r="I499" s="6">
        <v>205</v>
      </c>
      <c r="J499" s="1" t="str">
        <f>VLOOKUP(BUDGET!K499,IE!$A$2:$C$132,3,FALSE)</f>
        <v>Salaries &amp; Wages</v>
      </c>
      <c r="K499" s="24">
        <v>256</v>
      </c>
      <c r="L499" s="1" t="s">
        <v>119</v>
      </c>
      <c r="M499" s="22">
        <f>(M497+M498)*1.5%</f>
        <v>0</v>
      </c>
      <c r="N499" s="22"/>
    </row>
    <row r="500" spans="1:15">
      <c r="A500" s="6">
        <v>50</v>
      </c>
      <c r="B500" s="1" t="s">
        <v>306</v>
      </c>
      <c r="C500" s="6">
        <v>758</v>
      </c>
      <c r="D500" s="1" t="s">
        <v>192</v>
      </c>
      <c r="E500" s="12" t="s">
        <v>89</v>
      </c>
      <c r="G500" s="6">
        <v>758</v>
      </c>
      <c r="H500" s="1" t="s">
        <v>333</v>
      </c>
      <c r="I500" s="6">
        <v>250</v>
      </c>
      <c r="J500" s="1" t="str">
        <f>VLOOKUP(BUDGET!K500,IE!$A$2:$C$132,3,FALSE)</f>
        <v>Materials &amp; Services</v>
      </c>
      <c r="K500" s="24">
        <v>335</v>
      </c>
      <c r="L500" s="1" t="s">
        <v>110</v>
      </c>
      <c r="M500" s="22">
        <v>8000</v>
      </c>
      <c r="N500" s="22"/>
    </row>
    <row r="501" spans="1:15">
      <c r="A501" s="6">
        <v>50</v>
      </c>
      <c r="B501" s="1" t="s">
        <v>306</v>
      </c>
      <c r="C501" s="6">
        <v>758</v>
      </c>
      <c r="D501" s="1" t="s">
        <v>192</v>
      </c>
      <c r="E501" s="12" t="s">
        <v>89</v>
      </c>
      <c r="G501" s="6">
        <v>758</v>
      </c>
      <c r="H501" s="1" t="s">
        <v>333</v>
      </c>
      <c r="I501" s="6">
        <v>250</v>
      </c>
      <c r="J501" s="1" t="str">
        <f>VLOOKUP(BUDGET!K501,IE!$A$2:$C$132,3,FALSE)</f>
        <v>Materials &amp; Services</v>
      </c>
      <c r="K501" s="24">
        <v>358</v>
      </c>
      <c r="L501" s="1" t="s">
        <v>111</v>
      </c>
      <c r="M501" s="22">
        <v>2000</v>
      </c>
      <c r="N501" s="22"/>
    </row>
    <row r="502" spans="1:15">
      <c r="A502" s="6">
        <v>50</v>
      </c>
      <c r="B502" s="1" t="s">
        <v>306</v>
      </c>
      <c r="C502" s="6">
        <v>758</v>
      </c>
      <c r="D502" s="1" t="s">
        <v>192</v>
      </c>
      <c r="E502" s="12" t="s">
        <v>89</v>
      </c>
      <c r="G502" s="6">
        <v>758</v>
      </c>
      <c r="H502" s="1" t="s">
        <v>333</v>
      </c>
      <c r="I502" s="6">
        <v>250</v>
      </c>
      <c r="J502" s="1" t="str">
        <f>VLOOKUP(BUDGET!K502,IE!$A$2:$C$132,3,FALSE)</f>
        <v>Materials &amp; Services</v>
      </c>
      <c r="K502" s="24">
        <v>366</v>
      </c>
      <c r="L502" s="1" t="s">
        <v>142</v>
      </c>
      <c r="M502" s="22">
        <v>500</v>
      </c>
      <c r="N502" s="22"/>
    </row>
    <row r="503" spans="1:15">
      <c r="A503" s="6">
        <v>50</v>
      </c>
      <c r="B503" s="1" t="s">
        <v>306</v>
      </c>
      <c r="C503" s="6">
        <v>758</v>
      </c>
      <c r="D503" s="1" t="s">
        <v>192</v>
      </c>
      <c r="E503" s="12" t="s">
        <v>89</v>
      </c>
      <c r="G503" s="6">
        <v>758</v>
      </c>
      <c r="H503" s="1" t="s">
        <v>333</v>
      </c>
      <c r="I503" s="6">
        <v>262</v>
      </c>
      <c r="J503" s="1" t="str">
        <f>VLOOKUP(BUDGET!K503,IE!$A$2:$C$132,3,FALSE)</f>
        <v>Materials &amp; Services</v>
      </c>
      <c r="K503" s="24">
        <v>345</v>
      </c>
      <c r="L503" s="1" t="s">
        <v>193</v>
      </c>
      <c r="M503" s="22"/>
      <c r="N503" s="22"/>
      <c r="O503" s="1" t="s">
        <v>476</v>
      </c>
    </row>
    <row r="504" spans="1:15">
      <c r="A504" s="6">
        <v>50</v>
      </c>
      <c r="B504" s="1" t="s">
        <v>306</v>
      </c>
      <c r="C504" s="6">
        <v>758</v>
      </c>
      <c r="D504" s="1" t="s">
        <v>192</v>
      </c>
      <c r="E504" s="12" t="s">
        <v>89</v>
      </c>
      <c r="G504" s="6">
        <v>758</v>
      </c>
      <c r="H504" s="1" t="s">
        <v>333</v>
      </c>
      <c r="I504" s="6">
        <v>268</v>
      </c>
      <c r="J504" s="1" t="str">
        <f>VLOOKUP(BUDGET!K504,IE!$A$2:$C$132,3,FALSE)</f>
        <v>Motor Vehicle Expenses</v>
      </c>
      <c r="K504" s="24">
        <v>394</v>
      </c>
      <c r="L504" s="1" t="s">
        <v>158</v>
      </c>
      <c r="M504" s="22">
        <v>12000</v>
      </c>
      <c r="N504" s="22"/>
    </row>
    <row r="505" spans="1:15">
      <c r="A505" s="6">
        <v>50</v>
      </c>
      <c r="B505" s="1" t="s">
        <v>306</v>
      </c>
      <c r="C505" s="6">
        <v>758</v>
      </c>
      <c r="D505" s="1" t="s">
        <v>192</v>
      </c>
      <c r="E505" s="12" t="s">
        <v>89</v>
      </c>
      <c r="G505" s="6">
        <v>758</v>
      </c>
      <c r="H505" s="1" t="s">
        <v>333</v>
      </c>
      <c r="I505" s="6">
        <v>272</v>
      </c>
      <c r="J505" s="1" t="str">
        <f>VLOOKUP(BUDGET!K505,IE!$A$2:$C$132,3,FALSE)</f>
        <v>Property Expenses</v>
      </c>
      <c r="K505" s="24">
        <v>382</v>
      </c>
      <c r="L505" s="1" t="s">
        <v>144</v>
      </c>
      <c r="M505" s="22">
        <v>52000</v>
      </c>
      <c r="N505" s="22"/>
    </row>
    <row r="506" spans="1:15">
      <c r="A506" s="6">
        <v>50</v>
      </c>
      <c r="B506" s="1" t="s">
        <v>306</v>
      </c>
      <c r="C506" s="6">
        <v>758</v>
      </c>
      <c r="D506" s="1" t="s">
        <v>192</v>
      </c>
      <c r="E506" s="12" t="s">
        <v>89</v>
      </c>
      <c r="G506" s="6">
        <v>758</v>
      </c>
      <c r="H506" s="1" t="s">
        <v>333</v>
      </c>
      <c r="I506" s="6">
        <v>278</v>
      </c>
      <c r="J506" s="1" t="str">
        <f>VLOOKUP(BUDGET!K506,IE!$A$2:$C$132,3,FALSE)</f>
        <v>Materials &amp; Services</v>
      </c>
      <c r="K506" s="24">
        <v>353</v>
      </c>
      <c r="L506" s="1" t="s">
        <v>112</v>
      </c>
      <c r="M506" s="22">
        <v>2500</v>
      </c>
      <c r="N506" s="22"/>
    </row>
    <row r="507" spans="1:15">
      <c r="A507" s="6">
        <v>50</v>
      </c>
      <c r="B507" s="1" t="s">
        <v>306</v>
      </c>
      <c r="C507" s="6">
        <v>758</v>
      </c>
      <c r="D507" s="1" t="s">
        <v>192</v>
      </c>
      <c r="E507" s="12" t="s">
        <v>89</v>
      </c>
      <c r="G507" s="6">
        <v>758</v>
      </c>
      <c r="H507" s="1" t="s">
        <v>333</v>
      </c>
      <c r="I507" s="6">
        <v>278</v>
      </c>
      <c r="J507" s="1" t="str">
        <f>VLOOKUP(BUDGET!K507,IE!$A$2:$C$132,3,FALSE)</f>
        <v>Materials &amp; Services</v>
      </c>
      <c r="K507" s="24">
        <v>356</v>
      </c>
      <c r="L507" s="1" t="s">
        <v>160</v>
      </c>
      <c r="M507" s="22">
        <v>300</v>
      </c>
      <c r="N507" s="22"/>
    </row>
    <row r="508" spans="1:15">
      <c r="A508" s="6">
        <v>50</v>
      </c>
      <c r="B508" s="1" t="s">
        <v>306</v>
      </c>
      <c r="C508" s="6">
        <v>758</v>
      </c>
      <c r="D508" s="1" t="s">
        <v>192</v>
      </c>
      <c r="E508" s="12" t="s">
        <v>89</v>
      </c>
      <c r="G508" s="6">
        <v>758</v>
      </c>
      <c r="H508" s="1" t="s">
        <v>333</v>
      </c>
      <c r="I508" s="6">
        <v>810</v>
      </c>
      <c r="J508" s="1" t="str">
        <f>VLOOKUP(BUDGET!K508,IE!$A$2:$C$132,3,FALSE)</f>
        <v>Capital Expenses</v>
      </c>
      <c r="K508" s="24">
        <v>810</v>
      </c>
      <c r="L508" s="1" t="s">
        <v>182</v>
      </c>
      <c r="M508" s="22"/>
      <c r="N508" s="22"/>
      <c r="O508" s="1" t="s">
        <v>476</v>
      </c>
    </row>
    <row r="509" spans="1:15">
      <c r="A509" s="6">
        <v>50</v>
      </c>
      <c r="B509" s="1" t="s">
        <v>306</v>
      </c>
      <c r="C509" s="6">
        <v>758</v>
      </c>
      <c r="D509" s="1" t="s">
        <v>192</v>
      </c>
      <c r="E509" s="12" t="s">
        <v>89</v>
      </c>
      <c r="G509" s="6">
        <v>758</v>
      </c>
      <c r="H509" s="1" t="s">
        <v>333</v>
      </c>
      <c r="I509" s="6">
        <v>900</v>
      </c>
      <c r="J509" s="1" t="str">
        <f>VLOOKUP(BUDGET!K509,IE!$A$2:$C$132,3,FALSE)</f>
        <v>Internal Transfer</v>
      </c>
      <c r="K509" s="24">
        <v>904</v>
      </c>
      <c r="L509" s="1" t="s">
        <v>161</v>
      </c>
      <c r="M509" s="22">
        <v>10000</v>
      </c>
      <c r="N509" s="22"/>
    </row>
    <row r="510" spans="1:15" ht="12" customHeight="1">
      <c r="A510" s="6">
        <v>50</v>
      </c>
      <c r="B510" s="1" t="s">
        <v>306</v>
      </c>
      <c r="C510" s="6">
        <v>758</v>
      </c>
      <c r="D510" s="1" t="s">
        <v>192</v>
      </c>
      <c r="E510" s="12" t="s">
        <v>89</v>
      </c>
      <c r="G510" s="6">
        <v>758</v>
      </c>
      <c r="H510" s="1" t="s">
        <v>333</v>
      </c>
      <c r="I510" s="6">
        <v>900</v>
      </c>
      <c r="J510" s="1" t="str">
        <f>VLOOKUP(BUDGET!K510,IE!$A$2:$C$132,3,FALSE)</f>
        <v>Internal Transfer</v>
      </c>
      <c r="K510" s="24">
        <v>906</v>
      </c>
      <c r="L510" s="1" t="s">
        <v>162</v>
      </c>
      <c r="M510" s="22">
        <v>25000</v>
      </c>
      <c r="N510" s="22"/>
    </row>
    <row r="511" spans="1:15">
      <c r="A511" s="6">
        <v>50</v>
      </c>
      <c r="B511" s="1" t="s">
        <v>306</v>
      </c>
      <c r="C511" s="6">
        <v>758</v>
      </c>
      <c r="D511" s="1" t="s">
        <v>192</v>
      </c>
      <c r="E511" s="12" t="s">
        <v>89</v>
      </c>
      <c r="G511" s="6">
        <v>758</v>
      </c>
      <c r="H511" s="1" t="s">
        <v>333</v>
      </c>
      <c r="I511" s="6">
        <v>900</v>
      </c>
      <c r="J511" s="1" t="str">
        <f>VLOOKUP(BUDGET!K511,IE!$A$2:$C$132,3,FALSE)</f>
        <v>Internal Transfer</v>
      </c>
      <c r="K511" s="24">
        <v>908</v>
      </c>
      <c r="L511" s="1" t="s">
        <v>279</v>
      </c>
      <c r="M511" s="22">
        <f>-M130+-M412+-M495+-M531</f>
        <v>-75000</v>
      </c>
      <c r="N511" s="22"/>
      <c r="O511" s="1" t="s">
        <v>477</v>
      </c>
    </row>
    <row r="512" spans="1:15">
      <c r="A512" s="6">
        <v>50</v>
      </c>
      <c r="B512" s="1" t="s">
        <v>306</v>
      </c>
      <c r="C512" s="6">
        <v>758</v>
      </c>
      <c r="D512" s="1" t="s">
        <v>192</v>
      </c>
      <c r="E512" s="12" t="s">
        <v>89</v>
      </c>
      <c r="G512" s="6">
        <v>758</v>
      </c>
      <c r="H512" s="1" t="s">
        <v>333</v>
      </c>
      <c r="I512" s="6">
        <v>900</v>
      </c>
      <c r="J512" s="1" t="str">
        <f>VLOOKUP(BUDGET!K512,IE!$A$2:$C$132,3,FALSE)</f>
        <v>Internal Transfer</v>
      </c>
      <c r="K512" s="24">
        <v>909</v>
      </c>
      <c r="L512" s="1" t="s">
        <v>334</v>
      </c>
      <c r="M512" s="22">
        <f>-M532</f>
        <v>-50000</v>
      </c>
      <c r="N512" s="22"/>
    </row>
    <row r="513" spans="1:15">
      <c r="A513" s="6">
        <v>50</v>
      </c>
      <c r="B513" s="1" t="s">
        <v>306</v>
      </c>
      <c r="C513" s="6">
        <v>760</v>
      </c>
      <c r="D513" s="1" t="s">
        <v>406</v>
      </c>
      <c r="E513" s="12" t="s">
        <v>90</v>
      </c>
      <c r="F513" s="1" t="s">
        <v>335</v>
      </c>
      <c r="G513" s="1" t="s">
        <v>12</v>
      </c>
      <c r="I513" s="1">
        <v>125</v>
      </c>
      <c r="J513" s="1" t="str">
        <f>VLOOKUP(BUDGET!K513,IE!$A$2:$C$132,3,FALSE)</f>
        <v>Capital Grants, Subsidies, Contributions &amp; Donations</v>
      </c>
      <c r="K513" s="24">
        <v>184</v>
      </c>
      <c r="L513" s="1" t="s">
        <v>336</v>
      </c>
      <c r="M513" s="20">
        <v>-169487</v>
      </c>
      <c r="N513" s="20"/>
      <c r="O513" s="1" t="s">
        <v>423</v>
      </c>
    </row>
    <row r="514" spans="1:15">
      <c r="A514" s="6">
        <v>50</v>
      </c>
      <c r="B514" s="1" t="s">
        <v>306</v>
      </c>
      <c r="C514" s="6">
        <v>760</v>
      </c>
      <c r="D514" s="1" t="s">
        <v>406</v>
      </c>
      <c r="E514" s="12" t="s">
        <v>91</v>
      </c>
      <c r="G514" s="6">
        <v>760</v>
      </c>
      <c r="H514" s="1" t="s">
        <v>337</v>
      </c>
      <c r="I514" s="6">
        <v>255</v>
      </c>
      <c r="J514" s="1" t="str">
        <f>VLOOKUP(BUDGET!K514,IE!$A$2:$C$132,3,FALSE)</f>
        <v>Capital Expenses</v>
      </c>
      <c r="K514" s="24">
        <v>810</v>
      </c>
      <c r="L514" s="1" t="s">
        <v>182</v>
      </c>
      <c r="M514" s="22">
        <v>25000</v>
      </c>
      <c r="N514" s="1" t="s">
        <v>168</v>
      </c>
    </row>
    <row r="515" spans="1:15">
      <c r="A515" s="6">
        <v>50</v>
      </c>
      <c r="B515" s="1" t="s">
        <v>306</v>
      </c>
      <c r="C515" s="6">
        <v>760</v>
      </c>
      <c r="D515" s="1" t="s">
        <v>406</v>
      </c>
      <c r="E515" s="12" t="s">
        <v>91</v>
      </c>
      <c r="G515" s="6">
        <v>760</v>
      </c>
      <c r="H515" s="1" t="s">
        <v>337</v>
      </c>
      <c r="I515" s="6">
        <v>262</v>
      </c>
      <c r="J515" s="1" t="str">
        <f>VLOOKUP(BUDGET!K515,IE!$A$2:$C$132,3,FALSE)</f>
        <v>Capital Expenses</v>
      </c>
      <c r="K515" s="24">
        <v>810</v>
      </c>
      <c r="L515" s="1" t="s">
        <v>182</v>
      </c>
      <c r="M515" s="22">
        <v>10000</v>
      </c>
      <c r="N515" s="1" t="s">
        <v>193</v>
      </c>
    </row>
    <row r="516" spans="1:15">
      <c r="A516" s="6">
        <v>50</v>
      </c>
      <c r="B516" s="1" t="s">
        <v>306</v>
      </c>
      <c r="C516" s="6">
        <v>760</v>
      </c>
      <c r="D516" s="1" t="s">
        <v>406</v>
      </c>
      <c r="E516" s="12" t="s">
        <v>91</v>
      </c>
      <c r="G516" s="6">
        <v>760</v>
      </c>
      <c r="H516" s="1" t="s">
        <v>337</v>
      </c>
      <c r="I516" s="6">
        <v>278</v>
      </c>
      <c r="J516" s="1" t="str">
        <f>VLOOKUP(BUDGET!K516,IE!$A$2:$C$132,3,FALSE)</f>
        <v>Capital Expenses</v>
      </c>
      <c r="K516" s="24">
        <v>810</v>
      </c>
      <c r="L516" s="1" t="s">
        <v>182</v>
      </c>
      <c r="M516" s="22">
        <v>122987</v>
      </c>
      <c r="N516" s="1" t="s">
        <v>112</v>
      </c>
    </row>
    <row r="517" spans="1:15">
      <c r="A517" s="6">
        <v>50</v>
      </c>
      <c r="B517" s="1" t="s">
        <v>306</v>
      </c>
      <c r="C517" s="6">
        <v>760</v>
      </c>
      <c r="D517" s="1" t="s">
        <v>406</v>
      </c>
      <c r="E517" s="12" t="s">
        <v>91</v>
      </c>
      <c r="G517" s="6">
        <v>760</v>
      </c>
      <c r="H517" s="1" t="s">
        <v>337</v>
      </c>
      <c r="I517" s="6">
        <v>900</v>
      </c>
      <c r="J517" s="1" t="str">
        <f>VLOOKUP(BUDGET!K517,IE!$A$2:$C$132,3,FALSE)</f>
        <v>Capital Expenses</v>
      </c>
      <c r="K517" s="24">
        <v>810</v>
      </c>
      <c r="L517" s="1" t="s">
        <v>182</v>
      </c>
      <c r="M517" s="22">
        <v>2500</v>
      </c>
      <c r="N517" s="1" t="s">
        <v>147</v>
      </c>
    </row>
    <row r="518" spans="1:15">
      <c r="A518" s="6">
        <v>50</v>
      </c>
      <c r="B518" s="1" t="s">
        <v>306</v>
      </c>
      <c r="C518" s="6">
        <v>760</v>
      </c>
      <c r="D518" s="1" t="s">
        <v>406</v>
      </c>
      <c r="E518" s="12" t="s">
        <v>91</v>
      </c>
      <c r="G518" s="6">
        <v>760</v>
      </c>
      <c r="H518" s="1" t="s">
        <v>337</v>
      </c>
      <c r="I518" s="6">
        <v>900</v>
      </c>
      <c r="J518" s="1" t="str">
        <f>VLOOKUP(BUDGET!K518,IE!$A$2:$C$132,3,FALSE)</f>
        <v>Capital Expenses</v>
      </c>
      <c r="K518" s="24">
        <v>810</v>
      </c>
      <c r="L518" s="1" t="s">
        <v>182</v>
      </c>
      <c r="M518" s="22">
        <v>3000</v>
      </c>
      <c r="N518" s="1" t="s">
        <v>161</v>
      </c>
    </row>
    <row r="519" spans="1:15">
      <c r="A519" s="6">
        <v>50</v>
      </c>
      <c r="B519" s="1" t="s">
        <v>306</v>
      </c>
      <c r="C519" s="6">
        <v>760</v>
      </c>
      <c r="D519" s="1" t="s">
        <v>406</v>
      </c>
      <c r="E519" s="12" t="s">
        <v>91</v>
      </c>
      <c r="G519" s="6">
        <v>760</v>
      </c>
      <c r="H519" s="1" t="s">
        <v>337</v>
      </c>
      <c r="I519" s="6">
        <v>900</v>
      </c>
      <c r="J519" s="1" t="str">
        <f>VLOOKUP(BUDGET!K519,IE!$A$2:$C$132,3,FALSE)</f>
        <v>Capital Expenses</v>
      </c>
      <c r="K519" s="24">
        <v>810</v>
      </c>
      <c r="L519" s="1" t="s">
        <v>182</v>
      </c>
      <c r="M519" s="22">
        <v>6000</v>
      </c>
      <c r="N519" s="1" t="s">
        <v>279</v>
      </c>
    </row>
    <row r="520" spans="1:15">
      <c r="A520" s="6">
        <v>50</v>
      </c>
      <c r="B520" s="1" t="s">
        <v>306</v>
      </c>
      <c r="C520" s="6">
        <v>764</v>
      </c>
      <c r="D520" s="1" t="s">
        <v>581</v>
      </c>
      <c r="E520" s="12">
        <v>76810</v>
      </c>
      <c r="G520" s="6"/>
      <c r="I520" s="6"/>
      <c r="J520" s="1" t="str">
        <f>VLOOKUP(BUDGET!K520,IE!$A$2:$C$132,3,FALSE)</f>
        <v>Capital Grants, Subsidies, Contributions &amp; Donations</v>
      </c>
      <c r="K520" s="24">
        <v>183</v>
      </c>
      <c r="L520" s="1" t="s">
        <v>340</v>
      </c>
      <c r="M520" s="20">
        <v>-2000000</v>
      </c>
      <c r="N520" s="20"/>
      <c r="O520" s="1" t="s">
        <v>416</v>
      </c>
    </row>
    <row r="521" spans="1:15">
      <c r="A521" s="6">
        <v>50</v>
      </c>
      <c r="B521" s="1" t="s">
        <v>306</v>
      </c>
      <c r="C521" s="6">
        <v>764</v>
      </c>
      <c r="D521" s="1" t="s">
        <v>581</v>
      </c>
      <c r="E521" s="12">
        <v>76830</v>
      </c>
      <c r="G521" s="6"/>
      <c r="I521" s="6"/>
      <c r="J521" s="1" t="str">
        <f>VLOOKUP(BUDGET!K521,IE!$A$2:$C$132,3,FALSE)</f>
        <v>Capital Expenses</v>
      </c>
      <c r="K521" s="24">
        <v>810</v>
      </c>
      <c r="L521" s="1" t="s">
        <v>182</v>
      </c>
      <c r="M521" s="21">
        <v>500000</v>
      </c>
      <c r="N521" s="1" t="s">
        <v>168</v>
      </c>
      <c r="O521" s="1" t="s">
        <v>413</v>
      </c>
    </row>
    <row r="522" spans="1:15">
      <c r="A522" s="6">
        <v>50</v>
      </c>
      <c r="B522" s="1" t="s">
        <v>306</v>
      </c>
      <c r="C522" s="6">
        <v>764</v>
      </c>
      <c r="D522" s="1" t="s">
        <v>581</v>
      </c>
      <c r="E522" s="12">
        <v>76830</v>
      </c>
      <c r="G522" s="6"/>
      <c r="I522" s="6"/>
      <c r="J522" s="1" t="str">
        <f>VLOOKUP(BUDGET!K522,IE!$A$2:$C$132,3,FALSE)</f>
        <v>Capital Expenses</v>
      </c>
      <c r="K522" s="24">
        <v>810</v>
      </c>
      <c r="L522" s="1" t="s">
        <v>182</v>
      </c>
      <c r="M522" s="21">
        <v>1000000</v>
      </c>
      <c r="N522" s="1" t="s">
        <v>193</v>
      </c>
      <c r="O522" s="1" t="s">
        <v>413</v>
      </c>
    </row>
    <row r="523" spans="1:15">
      <c r="A523" s="6">
        <v>50</v>
      </c>
      <c r="B523" s="1" t="s">
        <v>306</v>
      </c>
      <c r="C523" s="6">
        <v>764</v>
      </c>
      <c r="D523" s="1" t="s">
        <v>581</v>
      </c>
      <c r="E523" s="12">
        <v>76830</v>
      </c>
      <c r="G523" s="6"/>
      <c r="I523" s="6"/>
      <c r="J523" s="1" t="str">
        <f>VLOOKUP(BUDGET!K523,IE!$A$2:$C$132,3,FALSE)</f>
        <v>Capital Expenses</v>
      </c>
      <c r="K523" s="24">
        <v>810</v>
      </c>
      <c r="L523" s="1" t="s">
        <v>182</v>
      </c>
      <c r="M523" s="21">
        <v>500000</v>
      </c>
      <c r="N523" s="1" t="s">
        <v>112</v>
      </c>
      <c r="O523" s="1" t="s">
        <v>413</v>
      </c>
    </row>
    <row r="524" spans="1:15">
      <c r="A524" s="6">
        <v>50</v>
      </c>
      <c r="B524" s="1" t="s">
        <v>306</v>
      </c>
      <c r="C524" s="6">
        <v>769</v>
      </c>
      <c r="D524" s="1" t="s">
        <v>338</v>
      </c>
      <c r="E524" s="12" t="s">
        <v>92</v>
      </c>
      <c r="F524" s="1" t="s">
        <v>339</v>
      </c>
      <c r="G524" s="1" t="s">
        <v>12</v>
      </c>
      <c r="I524" s="1">
        <v>125</v>
      </c>
      <c r="J524" s="1" t="str">
        <f>VLOOKUP(BUDGET!K524,IE!$A$2:$C$132,3,FALSE)</f>
        <v>Capital Grants, Subsidies, Contributions &amp; Donations</v>
      </c>
      <c r="K524" s="24">
        <v>183</v>
      </c>
      <c r="L524" s="1" t="s">
        <v>340</v>
      </c>
      <c r="M524" s="17"/>
      <c r="N524" s="17"/>
      <c r="O524" s="1" t="s">
        <v>434</v>
      </c>
    </row>
    <row r="525" spans="1:15">
      <c r="A525" s="6">
        <v>50</v>
      </c>
      <c r="B525" s="1" t="s">
        <v>306</v>
      </c>
      <c r="C525" s="6">
        <v>769</v>
      </c>
      <c r="D525" s="1" t="s">
        <v>338</v>
      </c>
      <c r="E525" s="12" t="s">
        <v>93</v>
      </c>
      <c r="F525" s="1" t="s">
        <v>341</v>
      </c>
      <c r="G525" s="1" t="s">
        <v>12</v>
      </c>
      <c r="I525" s="6">
        <v>250</v>
      </c>
      <c r="J525" s="1" t="str">
        <f>VLOOKUP(BUDGET!K525,IE!$A$2:$C$132,3,FALSE)</f>
        <v>Materials &amp; Services</v>
      </c>
      <c r="K525" s="24">
        <v>358</v>
      </c>
      <c r="L525" s="1" t="s">
        <v>111</v>
      </c>
      <c r="M525" s="17"/>
      <c r="N525" s="17"/>
    </row>
    <row r="526" spans="1:15">
      <c r="A526" s="6">
        <v>50</v>
      </c>
      <c r="B526" s="1" t="s">
        <v>306</v>
      </c>
      <c r="C526" s="6">
        <v>769</v>
      </c>
      <c r="D526" s="1" t="s">
        <v>338</v>
      </c>
      <c r="E526" s="12" t="s">
        <v>93</v>
      </c>
      <c r="F526" s="1" t="s">
        <v>341</v>
      </c>
      <c r="G526" s="1" t="s">
        <v>12</v>
      </c>
      <c r="I526" s="6">
        <v>255</v>
      </c>
      <c r="J526" s="1" t="str">
        <f>VLOOKUP(BUDGET!K526,IE!$A$2:$C$132,3,FALSE)</f>
        <v>Materials &amp; Services</v>
      </c>
      <c r="K526" s="24">
        <v>325</v>
      </c>
      <c r="L526" s="1" t="s">
        <v>168</v>
      </c>
      <c r="M526" s="17"/>
      <c r="N526" s="17"/>
    </row>
    <row r="527" spans="1:15">
      <c r="A527" s="6">
        <v>50</v>
      </c>
      <c r="B527" s="1" t="s">
        <v>306</v>
      </c>
      <c r="C527" s="6">
        <v>769</v>
      </c>
      <c r="D527" s="1" t="s">
        <v>338</v>
      </c>
      <c r="E527" s="12" t="s">
        <v>93</v>
      </c>
      <c r="F527" s="1" t="s">
        <v>341</v>
      </c>
      <c r="G527" s="1" t="s">
        <v>12</v>
      </c>
      <c r="I527" s="6">
        <v>262</v>
      </c>
      <c r="J527" s="1" t="str">
        <f>VLOOKUP(BUDGET!K527,IE!$A$2:$C$132,3,FALSE)</f>
        <v>Materials &amp; Services</v>
      </c>
      <c r="K527" s="24">
        <v>345</v>
      </c>
      <c r="L527" s="1" t="s">
        <v>193</v>
      </c>
      <c r="M527" s="17"/>
      <c r="N527" s="17"/>
    </row>
    <row r="528" spans="1:15">
      <c r="A528" s="6">
        <v>50</v>
      </c>
      <c r="B528" s="1" t="s">
        <v>306</v>
      </c>
      <c r="C528" s="6">
        <v>769</v>
      </c>
      <c r="D528" s="1" t="s">
        <v>338</v>
      </c>
      <c r="E528" s="12" t="s">
        <v>93</v>
      </c>
      <c r="F528" s="1" t="s">
        <v>341</v>
      </c>
      <c r="G528" s="1" t="s">
        <v>12</v>
      </c>
      <c r="I528" s="6">
        <v>278</v>
      </c>
      <c r="J528" s="1" t="str">
        <f>VLOOKUP(BUDGET!K528,IE!$A$2:$C$132,3,FALSE)</f>
        <v>Materials &amp; Services</v>
      </c>
      <c r="K528" s="24">
        <v>353</v>
      </c>
      <c r="L528" s="1" t="s">
        <v>112</v>
      </c>
      <c r="M528" s="17"/>
      <c r="N528" s="17"/>
    </row>
    <row r="529" spans="1:15">
      <c r="A529" s="6">
        <v>50</v>
      </c>
      <c r="B529" s="1" t="s">
        <v>306</v>
      </c>
      <c r="C529" s="6">
        <v>769</v>
      </c>
      <c r="D529" s="1" t="s">
        <v>338</v>
      </c>
      <c r="E529" s="12" t="s">
        <v>93</v>
      </c>
      <c r="F529" s="1" t="s">
        <v>341</v>
      </c>
      <c r="G529" s="1" t="s">
        <v>12</v>
      </c>
      <c r="I529" s="6">
        <v>900</v>
      </c>
      <c r="J529" s="1" t="str">
        <f>VLOOKUP(BUDGET!K529,IE!$A$2:$C$132,3,FALSE)</f>
        <v>Internal Transfer</v>
      </c>
      <c r="K529" s="24">
        <v>903</v>
      </c>
      <c r="L529" s="1" t="s">
        <v>147</v>
      </c>
      <c r="M529" s="17"/>
      <c r="N529" s="17"/>
    </row>
    <row r="530" spans="1:15">
      <c r="A530" s="6">
        <v>50</v>
      </c>
      <c r="B530" s="1" t="s">
        <v>306</v>
      </c>
      <c r="C530" s="6">
        <v>769</v>
      </c>
      <c r="D530" s="1" t="s">
        <v>338</v>
      </c>
      <c r="E530" s="12" t="s">
        <v>93</v>
      </c>
      <c r="F530" s="1" t="s">
        <v>341</v>
      </c>
      <c r="G530" s="1" t="s">
        <v>12</v>
      </c>
      <c r="I530" s="6">
        <v>900</v>
      </c>
      <c r="J530" s="1" t="str">
        <f>VLOOKUP(BUDGET!K530,IE!$A$2:$C$132,3,FALSE)</f>
        <v>Internal Transfer</v>
      </c>
      <c r="K530" s="24">
        <v>904</v>
      </c>
      <c r="L530" s="1" t="s">
        <v>161</v>
      </c>
      <c r="M530" s="17"/>
      <c r="N530" s="17"/>
    </row>
    <row r="531" spans="1:15">
      <c r="A531" s="6">
        <v>50</v>
      </c>
      <c r="B531" s="1" t="s">
        <v>306</v>
      </c>
      <c r="C531" s="6">
        <v>769</v>
      </c>
      <c r="D531" s="1" t="s">
        <v>338</v>
      </c>
      <c r="E531" s="12" t="s">
        <v>93</v>
      </c>
      <c r="F531" s="1" t="s">
        <v>341</v>
      </c>
      <c r="G531" s="1" t="s">
        <v>12</v>
      </c>
      <c r="I531" s="6">
        <v>900</v>
      </c>
      <c r="J531" s="1" t="str">
        <f>VLOOKUP(BUDGET!K531,IE!$A$2:$C$132,3,FALSE)</f>
        <v>Internal Transfer</v>
      </c>
      <c r="K531" s="24">
        <v>908</v>
      </c>
      <c r="L531" s="1" t="s">
        <v>279</v>
      </c>
      <c r="M531" s="22">
        <v>30000</v>
      </c>
      <c r="N531" s="17"/>
    </row>
    <row r="532" spans="1:15">
      <c r="A532" s="6">
        <v>50</v>
      </c>
      <c r="B532" s="1" t="s">
        <v>306</v>
      </c>
      <c r="C532" s="6">
        <v>769</v>
      </c>
      <c r="D532" s="1" t="s">
        <v>338</v>
      </c>
      <c r="E532" s="12" t="s">
        <v>93</v>
      </c>
      <c r="F532" s="1" t="s">
        <v>341</v>
      </c>
      <c r="G532" s="1" t="s">
        <v>12</v>
      </c>
      <c r="I532" s="6">
        <v>900</v>
      </c>
      <c r="J532" s="1" t="str">
        <f>VLOOKUP(BUDGET!K532,IE!$A$2:$C$132,3,FALSE)</f>
        <v>Internal Transfer</v>
      </c>
      <c r="K532" s="24">
        <v>909</v>
      </c>
      <c r="L532" s="1" t="s">
        <v>334</v>
      </c>
      <c r="M532" s="22">
        <v>50000</v>
      </c>
      <c r="N532" s="17"/>
    </row>
    <row r="533" spans="1:15">
      <c r="A533" s="6">
        <v>50</v>
      </c>
      <c r="B533" s="1" t="s">
        <v>306</v>
      </c>
      <c r="C533" s="6">
        <v>770</v>
      </c>
      <c r="D533" s="1" t="s">
        <v>342</v>
      </c>
      <c r="E533" s="12" t="s">
        <v>94</v>
      </c>
      <c r="F533" s="1" t="s">
        <v>343</v>
      </c>
      <c r="G533" s="1" t="s">
        <v>12</v>
      </c>
      <c r="I533" s="6">
        <v>113</v>
      </c>
      <c r="J533" s="1" t="str">
        <f>VLOOKUP(BUDGET!K533,IE!$A$2:$C$132,3,FALSE)</f>
        <v>Sales Revenue</v>
      </c>
      <c r="K533" s="24">
        <v>189</v>
      </c>
      <c r="L533" s="1" t="s">
        <v>344</v>
      </c>
      <c r="M533" s="20">
        <v>-35000</v>
      </c>
      <c r="N533" s="20"/>
    </row>
    <row r="534" spans="1:15">
      <c r="A534" s="6">
        <v>50</v>
      </c>
      <c r="B534" s="1" t="s">
        <v>306</v>
      </c>
      <c r="C534" s="6">
        <v>770</v>
      </c>
      <c r="D534" s="1" t="s">
        <v>342</v>
      </c>
      <c r="E534" s="12" t="s">
        <v>95</v>
      </c>
      <c r="G534" s="6">
        <v>770</v>
      </c>
      <c r="H534" s="1" t="s">
        <v>345</v>
      </c>
      <c r="I534" s="6">
        <v>201</v>
      </c>
      <c r="J534" s="1" t="str">
        <f>VLOOKUP(BUDGET!K534,IE!$A$2:$C$132,3,FALSE)</f>
        <v>Salaries &amp; Wages</v>
      </c>
      <c r="K534" s="24">
        <v>210</v>
      </c>
      <c r="L534" s="1" t="s">
        <v>117</v>
      </c>
      <c r="M534" s="22">
        <v>155466</v>
      </c>
      <c r="N534" s="22"/>
      <c r="O534" s="1" t="s">
        <v>479</v>
      </c>
    </row>
    <row r="535" spans="1:15">
      <c r="A535" s="6">
        <v>50</v>
      </c>
      <c r="B535" s="1" t="s">
        <v>306</v>
      </c>
      <c r="C535" s="6">
        <v>770</v>
      </c>
      <c r="D535" s="1" t="s">
        <v>342</v>
      </c>
      <c r="E535" s="12" t="s">
        <v>95</v>
      </c>
      <c r="G535" s="6">
        <v>770</v>
      </c>
      <c r="H535" s="1" t="s">
        <v>345</v>
      </c>
      <c r="I535" s="6">
        <v>204</v>
      </c>
      <c r="J535" s="1" t="str">
        <f>VLOOKUP(BUDGET!K535,IE!$A$2:$C$132,3,FALSE)</f>
        <v>Salaries &amp; Wages</v>
      </c>
      <c r="K535" s="24">
        <v>240</v>
      </c>
      <c r="L535" s="1" t="s">
        <v>118</v>
      </c>
      <c r="M535" s="22">
        <f>M534*12%</f>
        <v>18655.919999999998</v>
      </c>
      <c r="N535" s="22"/>
      <c r="O535" s="1" t="s">
        <v>480</v>
      </c>
    </row>
    <row r="536" spans="1:15">
      <c r="A536" s="6">
        <v>50</v>
      </c>
      <c r="B536" s="1" t="s">
        <v>306</v>
      </c>
      <c r="C536" s="6">
        <v>770</v>
      </c>
      <c r="D536" s="1" t="s">
        <v>342</v>
      </c>
      <c r="E536" s="12" t="s">
        <v>95</v>
      </c>
      <c r="G536" s="6">
        <v>770</v>
      </c>
      <c r="H536" s="1" t="s">
        <v>345</v>
      </c>
      <c r="I536" s="6">
        <v>205</v>
      </c>
      <c r="J536" s="1" t="str">
        <f>VLOOKUP(BUDGET!K536,IE!$A$2:$C$132,3,FALSE)</f>
        <v>Salaries &amp; Wages</v>
      </c>
      <c r="K536" s="24">
        <v>255</v>
      </c>
      <c r="L536" s="1" t="s">
        <v>138</v>
      </c>
      <c r="M536" s="22">
        <v>1200</v>
      </c>
      <c r="N536" s="22"/>
    </row>
    <row r="537" spans="1:15">
      <c r="A537" s="6">
        <v>50</v>
      </c>
      <c r="B537" s="1" t="s">
        <v>306</v>
      </c>
      <c r="C537" s="6">
        <v>770</v>
      </c>
      <c r="D537" s="1" t="s">
        <v>342</v>
      </c>
      <c r="E537" s="12" t="s">
        <v>95</v>
      </c>
      <c r="G537" s="6">
        <v>770</v>
      </c>
      <c r="H537" s="1" t="s">
        <v>345</v>
      </c>
      <c r="I537" s="6">
        <v>205</v>
      </c>
      <c r="J537" s="1" t="str">
        <f>VLOOKUP(BUDGET!K537,IE!$A$2:$C$132,3,FALSE)</f>
        <v>Salaries &amp; Wages</v>
      </c>
      <c r="K537" s="24">
        <v>256</v>
      </c>
      <c r="L537" s="1" t="s">
        <v>119</v>
      </c>
      <c r="M537" s="22">
        <f>(M534+M535)*1.5%</f>
        <v>2611.8287999999998</v>
      </c>
      <c r="N537" s="22"/>
    </row>
    <row r="538" spans="1:15">
      <c r="A538" s="6">
        <v>50</v>
      </c>
      <c r="B538" s="1" t="s">
        <v>306</v>
      </c>
      <c r="C538" s="6">
        <v>770</v>
      </c>
      <c r="D538" s="1" t="s">
        <v>342</v>
      </c>
      <c r="E538" s="12" t="s">
        <v>95</v>
      </c>
      <c r="G538" s="6">
        <v>770</v>
      </c>
      <c r="H538" s="1" t="s">
        <v>345</v>
      </c>
      <c r="I538" s="6">
        <v>250</v>
      </c>
      <c r="J538" s="1" t="str">
        <f>VLOOKUP(BUDGET!K538,IE!$A$2:$C$132,3,FALSE)</f>
        <v>Materials &amp; Services</v>
      </c>
      <c r="K538" s="24">
        <v>335</v>
      </c>
      <c r="L538" s="1" t="s">
        <v>110</v>
      </c>
      <c r="M538" s="22">
        <v>1000</v>
      </c>
      <c r="N538" s="22"/>
    </row>
    <row r="539" spans="1:15">
      <c r="A539" s="6">
        <v>50</v>
      </c>
      <c r="B539" s="1" t="s">
        <v>306</v>
      </c>
      <c r="C539" s="6">
        <v>770</v>
      </c>
      <c r="D539" s="1" t="s">
        <v>342</v>
      </c>
      <c r="E539" s="12" t="s">
        <v>95</v>
      </c>
      <c r="G539" s="6">
        <v>770</v>
      </c>
      <c r="H539" s="1" t="s">
        <v>345</v>
      </c>
      <c r="I539" s="6">
        <v>250</v>
      </c>
      <c r="J539" s="1" t="str">
        <f>VLOOKUP(BUDGET!K539,IE!$A$2:$C$132,3,FALSE)</f>
        <v>Materials &amp; Services</v>
      </c>
      <c r="K539" s="24">
        <v>358</v>
      </c>
      <c r="L539" s="1" t="s">
        <v>111</v>
      </c>
      <c r="M539" s="22">
        <v>3000</v>
      </c>
      <c r="N539" s="22"/>
    </row>
    <row r="540" spans="1:15">
      <c r="A540" s="6">
        <v>50</v>
      </c>
      <c r="B540" s="1" t="s">
        <v>306</v>
      </c>
      <c r="C540" s="6">
        <v>770</v>
      </c>
      <c r="D540" s="1" t="s">
        <v>342</v>
      </c>
      <c r="E540" s="12" t="s">
        <v>95</v>
      </c>
      <c r="G540" s="6">
        <v>770</v>
      </c>
      <c r="H540" s="1" t="s">
        <v>345</v>
      </c>
      <c r="I540" s="6">
        <v>250</v>
      </c>
      <c r="J540" s="1" t="str">
        <f>VLOOKUP(BUDGET!K540,IE!$A$2:$C$132,3,FALSE)</f>
        <v>Materials &amp; Services</v>
      </c>
      <c r="K540" s="24">
        <v>366</v>
      </c>
      <c r="L540" s="1" t="s">
        <v>142</v>
      </c>
      <c r="M540" s="22">
        <v>1500</v>
      </c>
      <c r="N540" s="22"/>
    </row>
    <row r="541" spans="1:15">
      <c r="A541" s="6">
        <v>50</v>
      </c>
      <c r="B541" s="1" t="s">
        <v>306</v>
      </c>
      <c r="C541" s="6">
        <v>770</v>
      </c>
      <c r="D541" s="1" t="s">
        <v>342</v>
      </c>
      <c r="E541" s="12" t="s">
        <v>95</v>
      </c>
      <c r="G541" s="6">
        <v>770</v>
      </c>
      <c r="H541" s="1" t="s">
        <v>345</v>
      </c>
      <c r="I541" s="6">
        <v>250</v>
      </c>
      <c r="J541" s="1" t="str">
        <f>VLOOKUP(BUDGET!K541,IE!$A$2:$C$132,3,FALSE)</f>
        <v>Materials &amp; Services</v>
      </c>
      <c r="K541" s="24">
        <v>371</v>
      </c>
      <c r="L541" s="1" t="s">
        <v>156</v>
      </c>
      <c r="M541" s="22">
        <v>2000</v>
      </c>
      <c r="N541" s="22"/>
    </row>
    <row r="542" spans="1:15">
      <c r="A542" s="6">
        <v>50</v>
      </c>
      <c r="B542" s="1" t="s">
        <v>306</v>
      </c>
      <c r="C542" s="6">
        <v>770</v>
      </c>
      <c r="D542" s="1" t="s">
        <v>342</v>
      </c>
      <c r="E542" s="12" t="s">
        <v>95</v>
      </c>
      <c r="G542" s="6">
        <v>770</v>
      </c>
      <c r="H542" s="1" t="s">
        <v>345</v>
      </c>
      <c r="I542" s="6">
        <v>268</v>
      </c>
      <c r="J542" s="1" t="str">
        <f>VLOOKUP(BUDGET!K542,IE!$A$2:$C$132,3,FALSE)</f>
        <v>Motor Vehicle Expenses</v>
      </c>
      <c r="K542" s="24">
        <v>394</v>
      </c>
      <c r="L542" s="1" t="s">
        <v>158</v>
      </c>
      <c r="M542" s="22">
        <v>900</v>
      </c>
      <c r="N542" s="22"/>
    </row>
    <row r="543" spans="1:15">
      <c r="A543" s="6">
        <v>50</v>
      </c>
      <c r="B543" s="1" t="s">
        <v>306</v>
      </c>
      <c r="C543" s="6">
        <v>770</v>
      </c>
      <c r="D543" s="1" t="s">
        <v>342</v>
      </c>
      <c r="E543" s="12" t="s">
        <v>95</v>
      </c>
      <c r="G543" s="6">
        <v>770</v>
      </c>
      <c r="H543" s="1" t="s">
        <v>345</v>
      </c>
      <c r="I543" s="6">
        <v>272</v>
      </c>
      <c r="J543" s="1" t="str">
        <f>VLOOKUP(BUDGET!K543,IE!$A$2:$C$132,3,FALSE)</f>
        <v>Property Expenses</v>
      </c>
      <c r="K543" s="24">
        <v>382</v>
      </c>
      <c r="L543" s="1" t="s">
        <v>144</v>
      </c>
      <c r="M543" s="22">
        <v>2000</v>
      </c>
      <c r="N543" s="22"/>
    </row>
    <row r="544" spans="1:15">
      <c r="A544" s="6">
        <v>50</v>
      </c>
      <c r="B544" s="1" t="s">
        <v>306</v>
      </c>
      <c r="C544" s="6">
        <v>770</v>
      </c>
      <c r="D544" s="1" t="s">
        <v>342</v>
      </c>
      <c r="E544" s="12" t="s">
        <v>95</v>
      </c>
      <c r="G544" s="6">
        <v>770</v>
      </c>
      <c r="H544" s="1" t="s">
        <v>345</v>
      </c>
      <c r="I544" s="6">
        <v>278</v>
      </c>
      <c r="J544" s="1" t="str">
        <f>VLOOKUP(BUDGET!K544,IE!$A$2:$C$132,3,FALSE)</f>
        <v>Materials &amp; Services</v>
      </c>
      <c r="K544" s="24">
        <v>353</v>
      </c>
      <c r="L544" s="1" t="s">
        <v>112</v>
      </c>
      <c r="M544" s="22">
        <v>2500</v>
      </c>
      <c r="N544" s="22"/>
    </row>
    <row r="545" spans="1:15">
      <c r="A545" s="6">
        <v>50</v>
      </c>
      <c r="B545" s="1" t="s">
        <v>306</v>
      </c>
      <c r="C545" s="6">
        <v>770</v>
      </c>
      <c r="D545" s="1" t="s">
        <v>342</v>
      </c>
      <c r="E545" s="12" t="s">
        <v>95</v>
      </c>
      <c r="G545" s="6">
        <v>770</v>
      </c>
      <c r="H545" s="1" t="s">
        <v>345</v>
      </c>
      <c r="I545" s="6">
        <v>278</v>
      </c>
      <c r="J545" s="1" t="str">
        <f>VLOOKUP(BUDGET!K545,IE!$A$2:$C$132,3,FALSE)</f>
        <v>Materials &amp; Services</v>
      </c>
      <c r="K545" s="24">
        <v>356</v>
      </c>
      <c r="L545" s="1" t="s">
        <v>160</v>
      </c>
      <c r="M545" s="22">
        <v>400</v>
      </c>
      <c r="N545" s="22"/>
    </row>
    <row r="546" spans="1:15">
      <c r="A546" s="6">
        <v>50</v>
      </c>
      <c r="B546" s="1" t="s">
        <v>306</v>
      </c>
      <c r="C546" s="6">
        <v>770</v>
      </c>
      <c r="D546" s="1" t="s">
        <v>342</v>
      </c>
      <c r="E546" s="12" t="s">
        <v>95</v>
      </c>
      <c r="G546" s="6">
        <v>770</v>
      </c>
      <c r="H546" s="1" t="s">
        <v>345</v>
      </c>
      <c r="I546" s="6">
        <v>900</v>
      </c>
      <c r="J546" s="1" t="str">
        <f>VLOOKUP(BUDGET!K546,IE!$A$2:$C$132,3,FALSE)</f>
        <v>Internal Transfer</v>
      </c>
      <c r="K546" s="24">
        <v>904</v>
      </c>
      <c r="L546" s="1" t="s">
        <v>161</v>
      </c>
      <c r="M546" s="22">
        <v>6500</v>
      </c>
      <c r="N546" s="22"/>
    </row>
    <row r="547" spans="1:15">
      <c r="A547" s="6">
        <v>50</v>
      </c>
      <c r="B547" s="1" t="s">
        <v>306</v>
      </c>
      <c r="C547" s="6">
        <v>770</v>
      </c>
      <c r="D547" s="1" t="s">
        <v>342</v>
      </c>
      <c r="E547" s="12" t="s">
        <v>95</v>
      </c>
      <c r="G547" s="6">
        <v>770</v>
      </c>
      <c r="H547" s="1" t="s">
        <v>345</v>
      </c>
      <c r="I547" s="6">
        <v>900</v>
      </c>
      <c r="J547" s="1" t="str">
        <f>VLOOKUP(BUDGET!K547,IE!$A$2:$C$132,3,FALSE)</f>
        <v>Internal Transfer</v>
      </c>
      <c r="K547" s="24">
        <v>906</v>
      </c>
      <c r="L547" s="1" t="s">
        <v>162</v>
      </c>
      <c r="M547" s="22">
        <v>5000</v>
      </c>
      <c r="N547" s="22"/>
    </row>
    <row r="548" spans="1:15">
      <c r="A548" s="6">
        <v>50</v>
      </c>
      <c r="B548" s="1" t="s">
        <v>306</v>
      </c>
      <c r="C548" s="6">
        <v>778</v>
      </c>
      <c r="D548" s="1" t="s">
        <v>364</v>
      </c>
      <c r="E548" s="12" t="s">
        <v>96</v>
      </c>
      <c r="F548" s="1" t="s">
        <v>346</v>
      </c>
      <c r="G548" s="1" t="s">
        <v>12</v>
      </c>
      <c r="I548" s="6">
        <v>124</v>
      </c>
      <c r="J548" s="1" t="str">
        <f>VLOOKUP(BUDGET!K548,IE!$A$2:$C$132,3,FALSE)</f>
        <v>Grants, Subsidies, Contributions &amp; Donations</v>
      </c>
      <c r="K548" s="24">
        <v>181</v>
      </c>
      <c r="L548" s="1" t="s">
        <v>108</v>
      </c>
      <c r="M548" s="17"/>
      <c r="N548" s="17"/>
      <c r="O548" s="1" t="s">
        <v>478</v>
      </c>
    </row>
    <row r="549" spans="1:15">
      <c r="A549" s="6">
        <v>50</v>
      </c>
      <c r="B549" s="1" t="s">
        <v>306</v>
      </c>
      <c r="C549" s="6">
        <v>779</v>
      </c>
      <c r="D549" s="1" t="s">
        <v>365</v>
      </c>
      <c r="E549" s="12" t="s">
        <v>97</v>
      </c>
      <c r="F549" s="1" t="s">
        <v>347</v>
      </c>
      <c r="G549" s="1" t="s">
        <v>12</v>
      </c>
      <c r="I549" s="1">
        <v>125</v>
      </c>
      <c r="J549" s="1" t="str">
        <f>VLOOKUP(BUDGET!K549,IE!$A$2:$C$132,3,FALSE)</f>
        <v>Capital Grants, Subsidies, Contributions &amp; Donations</v>
      </c>
      <c r="K549" s="24">
        <v>183</v>
      </c>
      <c r="L549" s="1" t="s">
        <v>340</v>
      </c>
      <c r="M549" s="20">
        <v>-2267965</v>
      </c>
      <c r="N549" s="20"/>
      <c r="O549" s="1" t="s">
        <v>417</v>
      </c>
    </row>
    <row r="550" spans="1:15">
      <c r="A550" s="6">
        <v>50</v>
      </c>
      <c r="B550" s="1" t="s">
        <v>306</v>
      </c>
      <c r="C550" s="6">
        <v>779</v>
      </c>
      <c r="D550" s="1" t="s">
        <v>348</v>
      </c>
      <c r="E550" s="12" t="s">
        <v>98</v>
      </c>
      <c r="G550" s="6">
        <v>779</v>
      </c>
      <c r="H550" s="1" t="s">
        <v>349</v>
      </c>
      <c r="I550" s="6">
        <v>255</v>
      </c>
      <c r="J550" s="1" t="str">
        <f>VLOOKUP(BUDGET!K550,IE!$A$2:$C$132,3,FALSE)</f>
        <v>Capital Expenses</v>
      </c>
      <c r="K550" s="24">
        <v>810</v>
      </c>
      <c r="L550" s="1" t="s">
        <v>182</v>
      </c>
      <c r="M550" s="22">
        <f>-M549*O550</f>
        <v>317515.10000000003</v>
      </c>
      <c r="N550" s="1" t="s">
        <v>168</v>
      </c>
      <c r="O550" s="13">
        <v>0.14000000000000001</v>
      </c>
    </row>
    <row r="551" spans="1:15">
      <c r="A551" s="6">
        <v>50</v>
      </c>
      <c r="B551" s="1" t="s">
        <v>306</v>
      </c>
      <c r="C551" s="6">
        <v>779</v>
      </c>
      <c r="D551" s="1" t="s">
        <v>348</v>
      </c>
      <c r="E551" s="12" t="s">
        <v>98</v>
      </c>
      <c r="G551" s="6">
        <v>779</v>
      </c>
      <c r="H551" s="1" t="s">
        <v>349</v>
      </c>
      <c r="I551" s="6">
        <v>262</v>
      </c>
      <c r="J551" s="1" t="str">
        <f>VLOOKUP(BUDGET!K551,IE!$A$2:$C$132,3,FALSE)</f>
        <v>Capital Expenses</v>
      </c>
      <c r="K551" s="24">
        <v>810</v>
      </c>
      <c r="L551" s="1" t="s">
        <v>182</v>
      </c>
      <c r="M551" s="22">
        <f>-M549*O551</f>
        <v>1383458.65</v>
      </c>
      <c r="N551" s="1" t="s">
        <v>193</v>
      </c>
      <c r="O551" s="13">
        <v>0.61</v>
      </c>
    </row>
    <row r="552" spans="1:15">
      <c r="A552" s="6">
        <v>50</v>
      </c>
      <c r="B552" s="1" t="s">
        <v>306</v>
      </c>
      <c r="C552" s="6">
        <v>779</v>
      </c>
      <c r="D552" s="1" t="s">
        <v>348</v>
      </c>
      <c r="E552" s="12" t="s">
        <v>98</v>
      </c>
      <c r="G552" s="6">
        <v>779</v>
      </c>
      <c r="H552" s="1" t="s">
        <v>349</v>
      </c>
      <c r="I552" s="6">
        <v>278</v>
      </c>
      <c r="J552" s="1" t="str">
        <f>VLOOKUP(BUDGET!K552,IE!$A$2:$C$132,3,FALSE)</f>
        <v>Capital Expenses</v>
      </c>
      <c r="K552" s="24">
        <v>810</v>
      </c>
      <c r="L552" s="1" t="s">
        <v>182</v>
      </c>
      <c r="M552" s="22">
        <f>-M549*O552</f>
        <v>45359.3</v>
      </c>
      <c r="N552" s="1" t="s">
        <v>112</v>
      </c>
      <c r="O552" s="13">
        <v>0.02</v>
      </c>
    </row>
    <row r="553" spans="1:15">
      <c r="A553" s="6">
        <v>50</v>
      </c>
      <c r="B553" s="1" t="s">
        <v>306</v>
      </c>
      <c r="C553" s="6">
        <v>779</v>
      </c>
      <c r="D553" s="1" t="s">
        <v>348</v>
      </c>
      <c r="E553" s="12" t="s">
        <v>98</v>
      </c>
      <c r="G553" s="6">
        <v>779</v>
      </c>
      <c r="H553" s="1" t="s">
        <v>349</v>
      </c>
      <c r="I553" s="6">
        <v>900</v>
      </c>
      <c r="J553" s="1" t="str">
        <f>VLOOKUP(BUDGET!K553,IE!$A$2:$C$132,3,FALSE)</f>
        <v>Capital Expenses</v>
      </c>
      <c r="K553" s="24">
        <v>810</v>
      </c>
      <c r="L553" s="1" t="s">
        <v>182</v>
      </c>
      <c r="M553" s="22">
        <f>-M549*O553</f>
        <v>90718.6</v>
      </c>
      <c r="N553" s="1" t="s">
        <v>147</v>
      </c>
      <c r="O553" s="13">
        <v>0.04</v>
      </c>
    </row>
    <row r="554" spans="1:15">
      <c r="A554" s="6">
        <v>50</v>
      </c>
      <c r="B554" s="1" t="s">
        <v>306</v>
      </c>
      <c r="C554" s="6">
        <v>779</v>
      </c>
      <c r="D554" s="1" t="s">
        <v>348</v>
      </c>
      <c r="E554" s="12" t="s">
        <v>98</v>
      </c>
      <c r="G554" s="6">
        <v>779</v>
      </c>
      <c r="H554" s="1" t="s">
        <v>349</v>
      </c>
      <c r="I554" s="6">
        <v>900</v>
      </c>
      <c r="J554" s="1" t="str">
        <f>VLOOKUP(BUDGET!K554,IE!$A$2:$C$132,3,FALSE)</f>
        <v>Capital Expenses</v>
      </c>
      <c r="K554" s="24">
        <v>810</v>
      </c>
      <c r="L554" s="1" t="s">
        <v>182</v>
      </c>
      <c r="M554" s="22">
        <f>-M549*O554</f>
        <v>294835.45</v>
      </c>
      <c r="N554" s="1" t="s">
        <v>161</v>
      </c>
      <c r="O554" s="13">
        <v>0.13</v>
      </c>
    </row>
    <row r="555" spans="1:15">
      <c r="A555" s="6">
        <v>50</v>
      </c>
      <c r="B555" s="1" t="s">
        <v>306</v>
      </c>
      <c r="C555" s="6">
        <v>779</v>
      </c>
      <c r="D555" s="1" t="s">
        <v>348</v>
      </c>
      <c r="E555" s="12" t="s">
        <v>98</v>
      </c>
      <c r="G555" s="6">
        <v>779</v>
      </c>
      <c r="H555" s="1" t="s">
        <v>349</v>
      </c>
      <c r="I555" s="6">
        <v>900</v>
      </c>
      <c r="J555" s="1" t="str">
        <f>VLOOKUP(BUDGET!K555,IE!$A$2:$C$132,3,FALSE)</f>
        <v>Capital Expenses</v>
      </c>
      <c r="K555" s="24">
        <v>810</v>
      </c>
      <c r="L555" s="1" t="s">
        <v>182</v>
      </c>
      <c r="M555" s="22">
        <f>-M549*O555</f>
        <v>56699.125</v>
      </c>
      <c r="N555" s="1" t="s">
        <v>279</v>
      </c>
      <c r="O555" s="14">
        <v>2.5000000000000001E-2</v>
      </c>
    </row>
    <row r="556" spans="1:15">
      <c r="A556" s="6">
        <v>50</v>
      </c>
      <c r="B556" s="1" t="s">
        <v>306</v>
      </c>
      <c r="C556" s="6">
        <v>779</v>
      </c>
      <c r="D556" s="1" t="s">
        <v>348</v>
      </c>
      <c r="E556" s="12" t="s">
        <v>98</v>
      </c>
      <c r="G556" s="6">
        <v>779</v>
      </c>
      <c r="H556" s="1" t="s">
        <v>349</v>
      </c>
      <c r="I556" s="6">
        <v>900</v>
      </c>
      <c r="J556" s="1" t="str">
        <f>VLOOKUP(BUDGET!K556,IE!$A$2:$C$132,3,FALSE)</f>
        <v>Capital Expenses</v>
      </c>
      <c r="K556" s="24">
        <v>810</v>
      </c>
      <c r="L556" s="1" t="s">
        <v>182</v>
      </c>
      <c r="M556" s="22">
        <f>-M549*O556</f>
        <v>79378.775000000009</v>
      </c>
      <c r="N556" s="1" t="s">
        <v>334</v>
      </c>
      <c r="O556" s="14">
        <v>3.5000000000000003E-2</v>
      </c>
    </row>
    <row r="557" spans="1:15">
      <c r="A557" s="6">
        <v>50</v>
      </c>
      <c r="B557" s="1" t="s">
        <v>306</v>
      </c>
      <c r="C557" s="6">
        <v>780</v>
      </c>
      <c r="D557" s="1" t="s">
        <v>350</v>
      </c>
      <c r="E557" s="12" t="s">
        <v>99</v>
      </c>
      <c r="F557" s="1" t="s">
        <v>351</v>
      </c>
      <c r="G557" s="1" t="s">
        <v>12</v>
      </c>
      <c r="I557" s="6">
        <v>100</v>
      </c>
      <c r="J557" s="1" t="str">
        <f>VLOOKUP(BUDGET!K557,IE!$A$2:$C$132,3,FALSE)</f>
        <v>Levies &amp; Charges</v>
      </c>
      <c r="K557" s="24">
        <v>101</v>
      </c>
      <c r="L557" s="1" t="s">
        <v>352</v>
      </c>
      <c r="M557" s="20">
        <v>-18700</v>
      </c>
      <c r="N557" s="20"/>
    </row>
    <row r="558" spans="1:15">
      <c r="A558" s="6">
        <v>50</v>
      </c>
      <c r="B558" s="1" t="s">
        <v>306</v>
      </c>
      <c r="C558" s="6">
        <v>780</v>
      </c>
      <c r="D558" s="1" t="s">
        <v>350</v>
      </c>
      <c r="E558" s="12" t="s">
        <v>100</v>
      </c>
      <c r="G558" s="6">
        <v>780</v>
      </c>
      <c r="H558" s="1" t="s">
        <v>350</v>
      </c>
      <c r="I558" s="6">
        <v>201</v>
      </c>
      <c r="J558" s="1" t="str">
        <f>VLOOKUP(BUDGET!K558,IE!$A$2:$C$132,3,FALSE)</f>
        <v>Salaries &amp; Wages</v>
      </c>
      <c r="K558" s="24">
        <v>210</v>
      </c>
      <c r="L558" s="1" t="s">
        <v>117</v>
      </c>
      <c r="M558" s="22">
        <v>38173</v>
      </c>
      <c r="N558" s="22"/>
      <c r="O558" s="1" t="s">
        <v>475</v>
      </c>
    </row>
    <row r="559" spans="1:15">
      <c r="A559" s="6">
        <v>50</v>
      </c>
      <c r="B559" s="1" t="s">
        <v>306</v>
      </c>
      <c r="C559" s="6">
        <v>780</v>
      </c>
      <c r="D559" s="1" t="s">
        <v>350</v>
      </c>
      <c r="E559" s="12" t="s">
        <v>100</v>
      </c>
      <c r="G559" s="6">
        <v>780</v>
      </c>
      <c r="H559" s="1" t="s">
        <v>350</v>
      </c>
      <c r="I559" s="6">
        <v>204</v>
      </c>
      <c r="J559" s="1" t="str">
        <f>VLOOKUP(BUDGET!K559,IE!$A$2:$C$132,3,FALSE)</f>
        <v>Salaries &amp; Wages</v>
      </c>
      <c r="K559" s="24">
        <v>240</v>
      </c>
      <c r="L559" s="1" t="s">
        <v>118</v>
      </c>
      <c r="M559" s="22">
        <f>M558*12%</f>
        <v>4580.76</v>
      </c>
      <c r="N559" s="22"/>
    </row>
    <row r="560" spans="1:15">
      <c r="A560" s="6">
        <v>50</v>
      </c>
      <c r="B560" s="1" t="s">
        <v>306</v>
      </c>
      <c r="C560" s="6">
        <v>780</v>
      </c>
      <c r="D560" s="1" t="s">
        <v>350</v>
      </c>
      <c r="E560" s="12" t="s">
        <v>100</v>
      </c>
      <c r="G560" s="6">
        <v>780</v>
      </c>
      <c r="H560" s="1" t="s">
        <v>350</v>
      </c>
      <c r="I560" s="6">
        <v>205</v>
      </c>
      <c r="J560" s="1" t="str">
        <f>VLOOKUP(BUDGET!K560,IE!$A$2:$C$132,3,FALSE)</f>
        <v>Salaries &amp; Wages</v>
      </c>
      <c r="K560" s="24">
        <v>255</v>
      </c>
      <c r="L560" s="1" t="s">
        <v>138</v>
      </c>
      <c r="M560" s="22">
        <v>300</v>
      </c>
      <c r="N560" s="22"/>
    </row>
    <row r="561" spans="1:14">
      <c r="A561" s="6">
        <v>50</v>
      </c>
      <c r="B561" s="1" t="s">
        <v>306</v>
      </c>
      <c r="C561" s="6">
        <v>780</v>
      </c>
      <c r="D561" s="1" t="s">
        <v>350</v>
      </c>
      <c r="E561" s="12">
        <v>78030</v>
      </c>
      <c r="G561" s="6"/>
      <c r="I561" s="6"/>
      <c r="J561" s="1" t="str">
        <f>VLOOKUP(BUDGET!K561,IE!$A$2:$C$132,3,FALSE)</f>
        <v>Salaries &amp; Wages</v>
      </c>
      <c r="K561" s="24">
        <v>256</v>
      </c>
      <c r="L561" s="1" t="s">
        <v>119</v>
      </c>
      <c r="M561" s="22">
        <f>(M558+M559)*1.5%</f>
        <v>641.30640000000005</v>
      </c>
      <c r="N561" s="22"/>
    </row>
    <row r="562" spans="1:14">
      <c r="A562" s="6">
        <v>50</v>
      </c>
      <c r="B562" s="1" t="s">
        <v>306</v>
      </c>
      <c r="C562" s="6">
        <v>780</v>
      </c>
      <c r="D562" s="1" t="s">
        <v>350</v>
      </c>
      <c r="E562" s="12" t="s">
        <v>100</v>
      </c>
      <c r="G562" s="6">
        <v>780</v>
      </c>
      <c r="H562" s="1" t="s">
        <v>350</v>
      </c>
      <c r="I562" s="6">
        <v>250</v>
      </c>
      <c r="J562" s="1" t="str">
        <f>VLOOKUP(BUDGET!K562,IE!$A$2:$C$132,3,FALSE)</f>
        <v>Materials &amp; Services</v>
      </c>
      <c r="K562" s="24">
        <v>335</v>
      </c>
      <c r="L562" s="1" t="s">
        <v>110</v>
      </c>
      <c r="M562" s="22">
        <v>3500</v>
      </c>
      <c r="N562" s="22"/>
    </row>
    <row r="563" spans="1:14">
      <c r="A563" s="6">
        <v>50</v>
      </c>
      <c r="B563" s="1" t="s">
        <v>306</v>
      </c>
      <c r="C563" s="6">
        <v>780</v>
      </c>
      <c r="D563" s="1" t="s">
        <v>350</v>
      </c>
      <c r="E563" s="12" t="s">
        <v>100</v>
      </c>
      <c r="G563" s="6">
        <v>780</v>
      </c>
      <c r="H563" s="1" t="s">
        <v>350</v>
      </c>
      <c r="I563" s="6">
        <v>250</v>
      </c>
      <c r="J563" s="1" t="str">
        <f>VLOOKUP(BUDGET!K563,IE!$A$2:$C$132,3,FALSE)</f>
        <v>Materials &amp; Services</v>
      </c>
      <c r="K563" s="24">
        <v>337</v>
      </c>
      <c r="L563" s="1" t="s">
        <v>328</v>
      </c>
      <c r="M563" s="22">
        <v>4000</v>
      </c>
      <c r="N563" s="22"/>
    </row>
    <row r="564" spans="1:14">
      <c r="A564" s="6">
        <v>50</v>
      </c>
      <c r="B564" s="1" t="s">
        <v>306</v>
      </c>
      <c r="C564" s="6">
        <v>780</v>
      </c>
      <c r="D564" s="1" t="s">
        <v>350</v>
      </c>
      <c r="E564" s="12" t="s">
        <v>100</v>
      </c>
      <c r="G564" s="6">
        <v>780</v>
      </c>
      <c r="H564" s="1" t="s">
        <v>350</v>
      </c>
      <c r="I564" s="6">
        <v>250</v>
      </c>
      <c r="J564" s="1" t="str">
        <f>VLOOKUP(BUDGET!K564,IE!$A$2:$C$132,3,FALSE)</f>
        <v>Materials &amp; Services</v>
      </c>
      <c r="K564" s="24">
        <v>339</v>
      </c>
      <c r="L564" s="1" t="s">
        <v>274</v>
      </c>
      <c r="M564" s="22">
        <v>2000</v>
      </c>
      <c r="N564" s="22"/>
    </row>
    <row r="565" spans="1:14">
      <c r="A565" s="6">
        <v>50</v>
      </c>
      <c r="B565" s="1" t="s">
        <v>306</v>
      </c>
      <c r="C565" s="6">
        <v>780</v>
      </c>
      <c r="D565" s="1" t="s">
        <v>350</v>
      </c>
      <c r="E565" s="12" t="s">
        <v>100</v>
      </c>
      <c r="G565" s="6">
        <v>780</v>
      </c>
      <c r="H565" s="1" t="s">
        <v>350</v>
      </c>
      <c r="I565" s="6">
        <v>250</v>
      </c>
      <c r="J565" s="1" t="str">
        <f>VLOOKUP(BUDGET!K565,IE!$A$2:$C$132,3,FALSE)</f>
        <v>Materials &amp; Services</v>
      </c>
      <c r="K565" s="24">
        <v>350</v>
      </c>
      <c r="L565" s="1" t="s">
        <v>121</v>
      </c>
      <c r="M565" s="22">
        <v>150</v>
      </c>
      <c r="N565" s="22"/>
    </row>
    <row r="566" spans="1:14">
      <c r="A566" s="6">
        <v>50</v>
      </c>
      <c r="B566" s="1" t="s">
        <v>306</v>
      </c>
      <c r="C566" s="6">
        <v>780</v>
      </c>
      <c r="D566" s="1" t="s">
        <v>350</v>
      </c>
      <c r="E566" s="12" t="s">
        <v>100</v>
      </c>
      <c r="G566" s="6">
        <v>780</v>
      </c>
      <c r="H566" s="1" t="s">
        <v>350</v>
      </c>
      <c r="I566" s="6">
        <v>250</v>
      </c>
      <c r="J566" s="1" t="str">
        <f>VLOOKUP(BUDGET!K566,IE!$A$2:$C$132,3,FALSE)</f>
        <v>Materials &amp; Services</v>
      </c>
      <c r="K566" s="24">
        <v>358</v>
      </c>
      <c r="L566" s="1" t="s">
        <v>111</v>
      </c>
      <c r="M566" s="22">
        <v>3000</v>
      </c>
      <c r="N566" s="22"/>
    </row>
    <row r="567" spans="1:14">
      <c r="A567" s="6">
        <v>50</v>
      </c>
      <c r="B567" s="1" t="s">
        <v>306</v>
      </c>
      <c r="C567" s="6">
        <v>780</v>
      </c>
      <c r="D567" s="1" t="s">
        <v>350</v>
      </c>
      <c r="E567" s="12" t="s">
        <v>100</v>
      </c>
      <c r="G567" s="6">
        <v>780</v>
      </c>
      <c r="H567" s="1" t="s">
        <v>350</v>
      </c>
      <c r="I567" s="6">
        <v>250</v>
      </c>
      <c r="J567" s="1" t="str">
        <f>VLOOKUP(BUDGET!K567,IE!$A$2:$C$132,3,FALSE)</f>
        <v>Materials &amp; Services</v>
      </c>
      <c r="K567" s="24">
        <v>366</v>
      </c>
      <c r="L567" s="1" t="s">
        <v>142</v>
      </c>
      <c r="M567" s="22">
        <v>350</v>
      </c>
      <c r="N567" s="22"/>
    </row>
    <row r="568" spans="1:14">
      <c r="A568" s="6">
        <v>50</v>
      </c>
      <c r="B568" s="1" t="s">
        <v>306</v>
      </c>
      <c r="C568" s="6">
        <v>780</v>
      </c>
      <c r="D568" s="1" t="s">
        <v>350</v>
      </c>
      <c r="E568" s="12" t="s">
        <v>100</v>
      </c>
      <c r="G568" s="6">
        <v>780</v>
      </c>
      <c r="H568" s="1" t="s">
        <v>350</v>
      </c>
      <c r="I568" s="6">
        <v>250</v>
      </c>
      <c r="J568" s="1" t="str">
        <f>VLOOKUP(BUDGET!K568,IE!$A$2:$C$132,3,FALSE)</f>
        <v>Materials &amp; Services</v>
      </c>
      <c r="K568" s="24">
        <v>367</v>
      </c>
      <c r="L568" s="1" t="s">
        <v>174</v>
      </c>
      <c r="M568" s="22">
        <v>150</v>
      </c>
      <c r="N568" s="22"/>
    </row>
    <row r="569" spans="1:14">
      <c r="A569" s="6">
        <v>50</v>
      </c>
      <c r="B569" s="1" t="s">
        <v>306</v>
      </c>
      <c r="C569" s="6">
        <v>780</v>
      </c>
      <c r="D569" s="1" t="s">
        <v>350</v>
      </c>
      <c r="E569" s="12" t="s">
        <v>100</v>
      </c>
      <c r="G569" s="6">
        <v>780</v>
      </c>
      <c r="H569" s="1" t="s">
        <v>350</v>
      </c>
      <c r="I569" s="6">
        <v>250</v>
      </c>
      <c r="J569" s="1" t="str">
        <f>VLOOKUP(BUDGET!K569,IE!$A$2:$C$132,3,FALSE)</f>
        <v>Materials &amp; Services</v>
      </c>
      <c r="K569" s="24">
        <v>369</v>
      </c>
      <c r="L569" s="1" t="s">
        <v>123</v>
      </c>
      <c r="M569" s="22">
        <v>400</v>
      </c>
      <c r="N569" s="22"/>
    </row>
    <row r="570" spans="1:14">
      <c r="A570" s="6">
        <v>50</v>
      </c>
      <c r="B570" s="1" t="s">
        <v>306</v>
      </c>
      <c r="C570" s="6">
        <v>780</v>
      </c>
      <c r="D570" s="1" t="s">
        <v>350</v>
      </c>
      <c r="E570" s="12" t="s">
        <v>100</v>
      </c>
      <c r="G570" s="6">
        <v>780</v>
      </c>
      <c r="H570" s="1" t="s">
        <v>350</v>
      </c>
      <c r="I570" s="6">
        <v>250</v>
      </c>
      <c r="J570" s="1" t="str">
        <f>VLOOKUP(BUDGET!K570,IE!$A$2:$C$132,3,FALSE)</f>
        <v>Materials &amp; Services</v>
      </c>
      <c r="K570" s="24">
        <v>371</v>
      </c>
      <c r="L570" s="1" t="s">
        <v>156</v>
      </c>
      <c r="M570" s="22">
        <v>3000</v>
      </c>
      <c r="N570" s="22"/>
    </row>
    <row r="571" spans="1:14">
      <c r="A571" s="6">
        <v>50</v>
      </c>
      <c r="B571" s="1" t="s">
        <v>306</v>
      </c>
      <c r="C571" s="6">
        <v>780</v>
      </c>
      <c r="D571" s="1" t="s">
        <v>350</v>
      </c>
      <c r="E571" s="12" t="s">
        <v>100</v>
      </c>
      <c r="G571" s="6">
        <v>780</v>
      </c>
      <c r="H571" s="1" t="s">
        <v>350</v>
      </c>
      <c r="I571" s="6">
        <v>250</v>
      </c>
      <c r="J571" s="1" t="str">
        <f>VLOOKUP(BUDGET!K571,IE!$A$2:$C$132,3,FALSE)</f>
        <v>Materials &amp; Services</v>
      </c>
      <c r="K571" s="24">
        <v>375</v>
      </c>
      <c r="L571" s="1" t="s">
        <v>310</v>
      </c>
      <c r="M571" s="22">
        <v>15000</v>
      </c>
      <c r="N571" s="22"/>
    </row>
    <row r="572" spans="1:14">
      <c r="A572" s="6">
        <v>50</v>
      </c>
      <c r="B572" s="1" t="s">
        <v>306</v>
      </c>
      <c r="C572" s="6">
        <v>780</v>
      </c>
      <c r="D572" s="1" t="s">
        <v>350</v>
      </c>
      <c r="E572" s="12" t="s">
        <v>100</v>
      </c>
      <c r="G572" s="6">
        <v>780</v>
      </c>
      <c r="H572" s="1" t="s">
        <v>350</v>
      </c>
      <c r="I572" s="6">
        <v>270</v>
      </c>
      <c r="J572" s="1" t="str">
        <f>VLOOKUP(BUDGET!K572,IE!$A$2:$C$132,3,FALSE)</f>
        <v>Materials &amp; Services</v>
      </c>
      <c r="K572" s="24">
        <v>333</v>
      </c>
      <c r="L572" s="1" t="s">
        <v>169</v>
      </c>
      <c r="M572" s="22">
        <v>14000</v>
      </c>
      <c r="N572" s="22"/>
    </row>
    <row r="573" spans="1:14">
      <c r="A573" s="6">
        <v>50</v>
      </c>
      <c r="B573" s="1" t="s">
        <v>306</v>
      </c>
      <c r="C573" s="6">
        <v>780</v>
      </c>
      <c r="D573" s="1" t="s">
        <v>350</v>
      </c>
      <c r="E573" s="12" t="s">
        <v>100</v>
      </c>
      <c r="G573" s="6">
        <v>780</v>
      </c>
      <c r="H573" s="1" t="s">
        <v>350</v>
      </c>
      <c r="I573" s="6">
        <v>272</v>
      </c>
      <c r="J573" s="1" t="str">
        <f>VLOOKUP(BUDGET!K573,IE!$A$2:$C$132,3,FALSE)</f>
        <v>Property Expenses</v>
      </c>
      <c r="K573" s="24">
        <v>382</v>
      </c>
      <c r="L573" s="1" t="s">
        <v>144</v>
      </c>
      <c r="M573" s="22">
        <v>4500</v>
      </c>
      <c r="N573" s="22"/>
    </row>
    <row r="574" spans="1:14">
      <c r="A574" s="6">
        <v>50</v>
      </c>
      <c r="B574" s="1" t="s">
        <v>306</v>
      </c>
      <c r="C574" s="6">
        <v>780</v>
      </c>
      <c r="D574" s="1" t="s">
        <v>350</v>
      </c>
      <c r="E574" s="12" t="s">
        <v>100</v>
      </c>
      <c r="G574" s="6">
        <v>780</v>
      </c>
      <c r="H574" s="1" t="s">
        <v>350</v>
      </c>
      <c r="I574" s="6">
        <v>278</v>
      </c>
      <c r="J574" s="1" t="str">
        <f>VLOOKUP(BUDGET!K574,IE!$A$2:$C$132,3,FALSE)</f>
        <v>Materials &amp; Services</v>
      </c>
      <c r="K574" s="24">
        <v>353</v>
      </c>
      <c r="L574" s="1" t="s">
        <v>112</v>
      </c>
      <c r="M574" s="22">
        <v>3000</v>
      </c>
      <c r="N574" s="22"/>
    </row>
    <row r="575" spans="1:14">
      <c r="A575" s="6">
        <v>50</v>
      </c>
      <c r="B575" s="1" t="s">
        <v>306</v>
      </c>
      <c r="C575" s="6">
        <v>780</v>
      </c>
      <c r="D575" s="1" t="s">
        <v>350</v>
      </c>
      <c r="E575" s="12" t="s">
        <v>100</v>
      </c>
      <c r="G575" s="6">
        <v>780</v>
      </c>
      <c r="H575" s="1" t="s">
        <v>350</v>
      </c>
      <c r="I575" s="6">
        <v>278</v>
      </c>
      <c r="J575" s="1" t="str">
        <f>VLOOKUP(BUDGET!K575,IE!$A$2:$C$132,3,FALSE)</f>
        <v>Materials &amp; Services</v>
      </c>
      <c r="K575" s="24">
        <v>356</v>
      </c>
      <c r="L575" s="1" t="s">
        <v>160</v>
      </c>
      <c r="M575" s="22">
        <v>700</v>
      </c>
      <c r="N575" s="22"/>
    </row>
    <row r="576" spans="1:14">
      <c r="A576" s="6">
        <v>50</v>
      </c>
      <c r="B576" s="1" t="s">
        <v>306</v>
      </c>
      <c r="C576" s="6">
        <v>780</v>
      </c>
      <c r="D576" s="1" t="s">
        <v>350</v>
      </c>
      <c r="E576" s="12" t="s">
        <v>100</v>
      </c>
      <c r="G576" s="6">
        <v>780</v>
      </c>
      <c r="H576" s="1" t="s">
        <v>350</v>
      </c>
      <c r="I576" s="6">
        <v>900</v>
      </c>
      <c r="J576" s="1" t="str">
        <f>VLOOKUP(BUDGET!K576,IE!$A$2:$C$132,3,FALSE)</f>
        <v>Internal Transfer</v>
      </c>
      <c r="K576" s="24">
        <v>904</v>
      </c>
      <c r="L576" s="1" t="s">
        <v>161</v>
      </c>
      <c r="M576" s="22">
        <v>1500</v>
      </c>
      <c r="N576" s="22"/>
    </row>
    <row r="577" spans="1:15">
      <c r="A577" s="6">
        <v>50</v>
      </c>
      <c r="B577" s="1" t="s">
        <v>306</v>
      </c>
      <c r="C577" s="6">
        <v>790</v>
      </c>
      <c r="D577" s="1" t="s">
        <v>353</v>
      </c>
      <c r="E577" s="12" t="s">
        <v>101</v>
      </c>
      <c r="F577" s="1" t="s">
        <v>354</v>
      </c>
      <c r="G577" s="1" t="s">
        <v>12</v>
      </c>
      <c r="I577" s="6">
        <v>100</v>
      </c>
      <c r="J577" s="1" t="str">
        <f>VLOOKUP(BUDGET!K577,IE!$A$2:$C$132,3,FALSE)</f>
        <v>Levies &amp; Charges</v>
      </c>
      <c r="K577" s="24">
        <v>101</v>
      </c>
      <c r="L577" s="1" t="s">
        <v>352</v>
      </c>
      <c r="M577" s="20">
        <v>-54500</v>
      </c>
      <c r="N577" s="20"/>
    </row>
    <row r="578" spans="1:15">
      <c r="A578" s="6">
        <v>50</v>
      </c>
      <c r="B578" s="1" t="s">
        <v>306</v>
      </c>
      <c r="C578" s="6">
        <v>790</v>
      </c>
      <c r="D578" s="1" t="s">
        <v>353</v>
      </c>
      <c r="E578" s="12" t="s">
        <v>102</v>
      </c>
      <c r="G578" s="6">
        <v>790</v>
      </c>
      <c r="H578" s="1" t="s">
        <v>353</v>
      </c>
      <c r="I578" s="6">
        <v>201</v>
      </c>
      <c r="J578" s="1" t="str">
        <f>VLOOKUP(BUDGET!K578,IE!$A$2:$C$132,3,FALSE)</f>
        <v>Salaries &amp; Wages</v>
      </c>
      <c r="K578" s="24">
        <v>210</v>
      </c>
      <c r="L578" s="1" t="s">
        <v>117</v>
      </c>
      <c r="M578" s="22">
        <v>93036</v>
      </c>
      <c r="N578" s="22"/>
      <c r="O578" s="1" t="s">
        <v>482</v>
      </c>
    </row>
    <row r="579" spans="1:15">
      <c r="A579" s="6">
        <v>50</v>
      </c>
      <c r="B579" s="1" t="s">
        <v>306</v>
      </c>
      <c r="C579" s="6">
        <v>790</v>
      </c>
      <c r="D579" s="1" t="s">
        <v>353</v>
      </c>
      <c r="E579" s="12" t="s">
        <v>102</v>
      </c>
      <c r="G579" s="6">
        <v>790</v>
      </c>
      <c r="H579" s="1" t="s">
        <v>353</v>
      </c>
      <c r="I579" s="6">
        <v>204</v>
      </c>
      <c r="J579" s="1" t="str">
        <f>VLOOKUP(BUDGET!K579,IE!$A$2:$C$132,3,FALSE)</f>
        <v>Salaries &amp; Wages</v>
      </c>
      <c r="K579" s="24">
        <v>240</v>
      </c>
      <c r="L579" s="1" t="s">
        <v>118</v>
      </c>
      <c r="M579" s="22">
        <f>M578*12%</f>
        <v>11164.32</v>
      </c>
      <c r="N579" s="22"/>
    </row>
    <row r="580" spans="1:15">
      <c r="A580" s="6">
        <v>50</v>
      </c>
      <c r="B580" s="1" t="s">
        <v>306</v>
      </c>
      <c r="C580" s="6">
        <v>790</v>
      </c>
      <c r="D580" s="1" t="s">
        <v>353</v>
      </c>
      <c r="G580" s="6"/>
      <c r="I580" s="6"/>
      <c r="J580" s="1" t="s">
        <v>117</v>
      </c>
      <c r="K580" s="24">
        <v>255</v>
      </c>
      <c r="L580" s="1" t="s">
        <v>138</v>
      </c>
      <c r="M580" s="22">
        <v>700</v>
      </c>
      <c r="N580" s="22"/>
    </row>
    <row r="581" spans="1:15">
      <c r="A581" s="6">
        <v>50</v>
      </c>
      <c r="B581" s="1" t="s">
        <v>306</v>
      </c>
      <c r="C581" s="6">
        <v>790</v>
      </c>
      <c r="D581" s="1" t="s">
        <v>353</v>
      </c>
      <c r="E581" s="12" t="s">
        <v>102</v>
      </c>
      <c r="G581" s="6">
        <v>790</v>
      </c>
      <c r="H581" s="1" t="s">
        <v>353</v>
      </c>
      <c r="I581" s="6">
        <v>205</v>
      </c>
      <c r="J581" s="1" t="str">
        <f>VLOOKUP(BUDGET!K581,IE!$A$2:$C$132,3,FALSE)</f>
        <v>Salaries &amp; Wages</v>
      </c>
      <c r="K581" s="24">
        <v>256</v>
      </c>
      <c r="L581" s="1" t="s">
        <v>119</v>
      </c>
      <c r="M581" s="22">
        <f>(M578+M579)*1.5%</f>
        <v>1563.0048000000002</v>
      </c>
      <c r="N581" s="22"/>
    </row>
    <row r="582" spans="1:15">
      <c r="A582" s="6">
        <v>50</v>
      </c>
      <c r="B582" s="1" t="s">
        <v>306</v>
      </c>
      <c r="C582" s="6">
        <v>790</v>
      </c>
      <c r="D582" s="1" t="s">
        <v>353</v>
      </c>
      <c r="E582" s="12" t="s">
        <v>102</v>
      </c>
      <c r="G582" s="6">
        <v>790</v>
      </c>
      <c r="H582" s="1" t="s">
        <v>353</v>
      </c>
      <c r="I582" s="6">
        <v>250</v>
      </c>
      <c r="J582" s="1" t="str">
        <f>VLOOKUP(BUDGET!K582,IE!$A$2:$C$132,3,FALSE)</f>
        <v>Materials &amp; Services</v>
      </c>
      <c r="K582" s="24">
        <v>335</v>
      </c>
      <c r="L582" s="1" t="s">
        <v>110</v>
      </c>
      <c r="M582" s="22">
        <v>1200</v>
      </c>
      <c r="N582" s="22"/>
    </row>
    <row r="583" spans="1:15">
      <c r="A583" s="6">
        <v>50</v>
      </c>
      <c r="B583" s="1" t="s">
        <v>306</v>
      </c>
      <c r="C583" s="6">
        <v>790</v>
      </c>
      <c r="D583" s="1" t="s">
        <v>353</v>
      </c>
      <c r="E583" s="12" t="s">
        <v>102</v>
      </c>
      <c r="G583" s="6">
        <v>790</v>
      </c>
      <c r="H583" s="1" t="s">
        <v>353</v>
      </c>
      <c r="I583" s="6">
        <v>270</v>
      </c>
      <c r="J583" s="1" t="str">
        <f>VLOOKUP(BUDGET!K583,IE!$A$2:$C$132,3,FALSE)</f>
        <v>Materials &amp; Services</v>
      </c>
      <c r="K583" s="24">
        <v>333</v>
      </c>
      <c r="L583" s="1" t="s">
        <v>169</v>
      </c>
      <c r="M583" s="22">
        <v>7500</v>
      </c>
      <c r="N583" s="22"/>
    </row>
    <row r="584" spans="1:15">
      <c r="A584" s="6">
        <v>50</v>
      </c>
      <c r="B584" s="1" t="s">
        <v>306</v>
      </c>
      <c r="C584" s="6">
        <v>790</v>
      </c>
      <c r="D584" s="1" t="s">
        <v>353</v>
      </c>
      <c r="E584" s="12" t="s">
        <v>102</v>
      </c>
      <c r="G584" s="6">
        <v>790</v>
      </c>
      <c r="H584" s="1" t="s">
        <v>353</v>
      </c>
      <c r="I584" s="6">
        <v>272</v>
      </c>
      <c r="J584" s="1" t="str">
        <f>VLOOKUP(BUDGET!K584,IE!$A$2:$C$132,3,FALSE)</f>
        <v>Property Expenses</v>
      </c>
      <c r="K584" s="24">
        <v>380</v>
      </c>
      <c r="L584" s="1" t="s">
        <v>127</v>
      </c>
      <c r="M584" s="22">
        <v>10000</v>
      </c>
      <c r="N584" s="22"/>
    </row>
    <row r="585" spans="1:15">
      <c r="A585" s="6">
        <v>50</v>
      </c>
      <c r="B585" s="1" t="s">
        <v>306</v>
      </c>
      <c r="C585" s="6">
        <v>790</v>
      </c>
      <c r="D585" s="1" t="s">
        <v>353</v>
      </c>
      <c r="E585" s="12" t="s">
        <v>102</v>
      </c>
      <c r="G585" s="6">
        <v>790</v>
      </c>
      <c r="H585" s="1" t="s">
        <v>353</v>
      </c>
      <c r="I585" s="6">
        <v>272</v>
      </c>
      <c r="J585" s="1" t="str">
        <f>VLOOKUP(BUDGET!K585,IE!$A$2:$C$132,3,FALSE)</f>
        <v>Property Expenses</v>
      </c>
      <c r="K585" s="24">
        <v>382</v>
      </c>
      <c r="L585" s="1" t="s">
        <v>144</v>
      </c>
      <c r="M585" s="22">
        <v>1500</v>
      </c>
      <c r="N585" s="22"/>
    </row>
    <row r="586" spans="1:15">
      <c r="A586" s="6">
        <v>50</v>
      </c>
      <c r="B586" s="1" t="s">
        <v>306</v>
      </c>
      <c r="C586" s="6">
        <v>790</v>
      </c>
      <c r="D586" s="1" t="s">
        <v>353</v>
      </c>
      <c r="E586" s="12" t="s">
        <v>102</v>
      </c>
      <c r="G586" s="6">
        <v>790</v>
      </c>
      <c r="H586" s="1" t="s">
        <v>353</v>
      </c>
      <c r="I586" s="6">
        <v>278</v>
      </c>
      <c r="J586" s="1" t="str">
        <f>VLOOKUP(BUDGET!K586,IE!$A$2:$C$132,3,FALSE)</f>
        <v>Materials &amp; Services</v>
      </c>
      <c r="K586" s="24">
        <v>353</v>
      </c>
      <c r="L586" s="1" t="s">
        <v>112</v>
      </c>
      <c r="M586" s="22">
        <v>1000</v>
      </c>
      <c r="N586" s="22"/>
    </row>
    <row r="587" spans="1:15">
      <c r="A587" s="6">
        <v>50</v>
      </c>
      <c r="B587" s="1" t="s">
        <v>306</v>
      </c>
      <c r="C587" s="6">
        <v>790</v>
      </c>
      <c r="D587" s="1" t="s">
        <v>353</v>
      </c>
      <c r="E587" s="12" t="s">
        <v>102</v>
      </c>
      <c r="G587" s="6">
        <v>790</v>
      </c>
      <c r="H587" s="1" t="s">
        <v>353</v>
      </c>
      <c r="I587" s="6">
        <v>278</v>
      </c>
      <c r="J587" s="1" t="str">
        <f>VLOOKUP(BUDGET!K587,IE!$A$2:$C$132,3,FALSE)</f>
        <v>Materials &amp; Services</v>
      </c>
      <c r="K587" s="24">
        <v>356</v>
      </c>
      <c r="L587" s="1" t="s">
        <v>160</v>
      </c>
      <c r="M587" s="22">
        <v>200</v>
      </c>
      <c r="N587" s="22"/>
    </row>
    <row r="588" spans="1:15">
      <c r="A588" s="6">
        <v>50</v>
      </c>
      <c r="B588" s="1" t="s">
        <v>306</v>
      </c>
      <c r="C588" s="6">
        <v>791</v>
      </c>
      <c r="D588" s="1" t="s">
        <v>355</v>
      </c>
      <c r="E588" s="12" t="s">
        <v>103</v>
      </c>
      <c r="F588" s="1" t="s">
        <v>356</v>
      </c>
      <c r="G588" s="1" t="s">
        <v>12</v>
      </c>
      <c r="I588" s="6">
        <v>100</v>
      </c>
      <c r="J588" s="1" t="str">
        <f>VLOOKUP(BUDGET!K588,IE!$A$2:$C$132,3,FALSE)</f>
        <v>Levies &amp; Charges</v>
      </c>
      <c r="K588" s="24">
        <v>101</v>
      </c>
      <c r="L588" s="1" t="s">
        <v>352</v>
      </c>
      <c r="M588" s="20">
        <v>-162000</v>
      </c>
      <c r="N588" s="20"/>
    </row>
    <row r="589" spans="1:15">
      <c r="A589" s="6">
        <v>50</v>
      </c>
      <c r="B589" s="1" t="s">
        <v>306</v>
      </c>
      <c r="C589" s="6">
        <v>791</v>
      </c>
      <c r="D589" s="1" t="s">
        <v>355</v>
      </c>
      <c r="E589" s="12" t="s">
        <v>104</v>
      </c>
      <c r="G589" s="6">
        <v>791</v>
      </c>
      <c r="H589" s="1" t="s">
        <v>355</v>
      </c>
      <c r="I589" s="6">
        <v>201</v>
      </c>
      <c r="J589" s="1" t="str">
        <f>VLOOKUP(BUDGET!K589,IE!$A$2:$C$132,3,FALSE)</f>
        <v>Salaries &amp; Wages</v>
      </c>
      <c r="K589" s="24">
        <v>210</v>
      </c>
      <c r="L589" s="1" t="s">
        <v>117</v>
      </c>
      <c r="M589" s="22">
        <v>83661</v>
      </c>
      <c r="N589" s="22"/>
      <c r="O589" s="1" t="s">
        <v>483</v>
      </c>
    </row>
    <row r="590" spans="1:15">
      <c r="A590" s="6">
        <v>50</v>
      </c>
      <c r="B590" s="1" t="s">
        <v>306</v>
      </c>
      <c r="C590" s="6">
        <v>791</v>
      </c>
      <c r="D590" s="1" t="s">
        <v>355</v>
      </c>
      <c r="E590" s="12" t="s">
        <v>104</v>
      </c>
      <c r="G590" s="6">
        <v>791</v>
      </c>
      <c r="H590" s="1" t="s">
        <v>355</v>
      </c>
      <c r="I590" s="6">
        <v>204</v>
      </c>
      <c r="J590" s="1" t="str">
        <f>VLOOKUP(BUDGET!K590,IE!$A$2:$C$132,3,FALSE)</f>
        <v>Salaries &amp; Wages</v>
      </c>
      <c r="K590" s="24">
        <v>240</v>
      </c>
      <c r="L590" s="1" t="s">
        <v>118</v>
      </c>
      <c r="M590" s="22">
        <f>M589*12%</f>
        <v>10039.32</v>
      </c>
      <c r="N590" s="22"/>
    </row>
    <row r="591" spans="1:15">
      <c r="A591" s="6">
        <v>50</v>
      </c>
      <c r="B591" s="1" t="s">
        <v>306</v>
      </c>
      <c r="C591" s="6">
        <v>791</v>
      </c>
      <c r="D591" s="1" t="s">
        <v>355</v>
      </c>
      <c r="E591" s="12" t="s">
        <v>104</v>
      </c>
      <c r="G591" s="6">
        <v>791</v>
      </c>
      <c r="H591" s="1" t="s">
        <v>355</v>
      </c>
      <c r="I591" s="6">
        <v>205</v>
      </c>
      <c r="J591" s="1" t="str">
        <f>VLOOKUP(BUDGET!K591,IE!$A$2:$C$132,3,FALSE)</f>
        <v>Salaries &amp; Wages</v>
      </c>
      <c r="K591" s="24">
        <v>255</v>
      </c>
      <c r="L591" s="1" t="s">
        <v>138</v>
      </c>
      <c r="M591" s="22">
        <v>1000</v>
      </c>
      <c r="N591" s="22"/>
    </row>
    <row r="592" spans="1:15">
      <c r="A592" s="6">
        <v>50</v>
      </c>
      <c r="B592" s="1" t="s">
        <v>306</v>
      </c>
      <c r="C592" s="6">
        <v>791</v>
      </c>
      <c r="D592" s="1" t="s">
        <v>355</v>
      </c>
      <c r="E592" s="12" t="s">
        <v>104</v>
      </c>
      <c r="G592" s="6">
        <v>791</v>
      </c>
      <c r="H592" s="1" t="s">
        <v>355</v>
      </c>
      <c r="I592" s="6">
        <v>205</v>
      </c>
      <c r="J592" s="1" t="str">
        <f>VLOOKUP(BUDGET!K592,IE!$A$2:$C$132,3,FALSE)</f>
        <v>Salaries &amp; Wages</v>
      </c>
      <c r="K592" s="24">
        <v>256</v>
      </c>
      <c r="L592" s="1" t="s">
        <v>119</v>
      </c>
      <c r="M592" s="22">
        <f>(M589+M590)*1.5%</f>
        <v>1405.5048000000002</v>
      </c>
      <c r="N592" s="22"/>
    </row>
    <row r="593" spans="1:14">
      <c r="A593" s="6">
        <v>50</v>
      </c>
      <c r="B593" s="1" t="s">
        <v>306</v>
      </c>
      <c r="C593" s="6">
        <v>791</v>
      </c>
      <c r="D593" s="1" t="s">
        <v>355</v>
      </c>
      <c r="E593" s="12" t="s">
        <v>104</v>
      </c>
      <c r="G593" s="6">
        <v>791</v>
      </c>
      <c r="H593" s="1" t="s">
        <v>355</v>
      </c>
      <c r="I593" s="6">
        <v>250</v>
      </c>
      <c r="J593" s="1" t="str">
        <f>VLOOKUP(BUDGET!K593,IE!$A$2:$C$132,3,FALSE)</f>
        <v>Materials &amp; Services</v>
      </c>
      <c r="K593" s="24">
        <v>335</v>
      </c>
      <c r="L593" s="1" t="s">
        <v>110</v>
      </c>
      <c r="M593" s="22">
        <v>4000</v>
      </c>
      <c r="N593" s="22"/>
    </row>
    <row r="594" spans="1:14">
      <c r="A594" s="6">
        <v>50</v>
      </c>
      <c r="B594" s="1" t="s">
        <v>306</v>
      </c>
      <c r="C594" s="6">
        <v>791</v>
      </c>
      <c r="D594" s="1" t="s">
        <v>355</v>
      </c>
      <c r="E594" s="12" t="s">
        <v>104</v>
      </c>
      <c r="G594" s="6">
        <v>791</v>
      </c>
      <c r="H594" s="1" t="s">
        <v>355</v>
      </c>
      <c r="I594" s="6">
        <v>250</v>
      </c>
      <c r="J594" s="1" t="str">
        <f>VLOOKUP(BUDGET!K594,IE!$A$2:$C$132,3,FALSE)</f>
        <v>Materials &amp; Services</v>
      </c>
      <c r="K594" s="24">
        <v>371</v>
      </c>
      <c r="L594" s="1" t="s">
        <v>156</v>
      </c>
      <c r="M594" s="22">
        <v>500</v>
      </c>
      <c r="N594" s="22"/>
    </row>
    <row r="595" spans="1:14">
      <c r="A595" s="6">
        <v>50</v>
      </c>
      <c r="B595" s="1" t="s">
        <v>306</v>
      </c>
      <c r="C595" s="6">
        <v>791</v>
      </c>
      <c r="D595" s="1" t="s">
        <v>355</v>
      </c>
      <c r="E595" s="12" t="s">
        <v>104</v>
      </c>
      <c r="G595" s="6">
        <v>791</v>
      </c>
      <c r="H595" s="1" t="s">
        <v>355</v>
      </c>
      <c r="I595" s="6">
        <v>268</v>
      </c>
      <c r="J595" s="1" t="str">
        <f>VLOOKUP(BUDGET!K595,IE!$A$2:$C$132,3,FALSE)</f>
        <v>Motor Vehicle Expenses</v>
      </c>
      <c r="K595" s="24">
        <v>394</v>
      </c>
      <c r="L595" s="1" t="s">
        <v>158</v>
      </c>
      <c r="M595" s="22">
        <v>1800</v>
      </c>
      <c r="N595" s="22"/>
    </row>
    <row r="596" spans="1:14">
      <c r="A596" s="6">
        <v>50</v>
      </c>
      <c r="B596" s="1" t="s">
        <v>306</v>
      </c>
      <c r="C596" s="6">
        <v>791</v>
      </c>
      <c r="D596" s="1" t="s">
        <v>355</v>
      </c>
      <c r="E596" s="12" t="s">
        <v>104</v>
      </c>
      <c r="G596" s="6">
        <v>791</v>
      </c>
      <c r="H596" s="1" t="s">
        <v>355</v>
      </c>
      <c r="I596" s="6">
        <v>278</v>
      </c>
      <c r="J596" s="1" t="str">
        <f>VLOOKUP(BUDGET!K596,IE!$A$2:$C$132,3,FALSE)</f>
        <v>Materials &amp; Services</v>
      </c>
      <c r="K596" s="24">
        <v>353</v>
      </c>
      <c r="L596" s="1" t="s">
        <v>112</v>
      </c>
      <c r="M596" s="22">
        <v>1000</v>
      </c>
      <c r="N596" s="22"/>
    </row>
    <row r="597" spans="1:14">
      <c r="A597" s="6">
        <v>50</v>
      </c>
      <c r="B597" s="1" t="s">
        <v>306</v>
      </c>
      <c r="C597" s="6">
        <v>791</v>
      </c>
      <c r="D597" s="1" t="s">
        <v>355</v>
      </c>
      <c r="E597" s="12" t="s">
        <v>104</v>
      </c>
      <c r="G597" s="6">
        <v>791</v>
      </c>
      <c r="H597" s="1" t="s">
        <v>355</v>
      </c>
      <c r="I597" s="6">
        <v>900</v>
      </c>
      <c r="J597" s="1" t="str">
        <f>VLOOKUP(BUDGET!K597,IE!$A$2:$C$132,3,FALSE)</f>
        <v>Internal Transfer</v>
      </c>
      <c r="K597" s="24">
        <v>904</v>
      </c>
      <c r="L597" s="1" t="s">
        <v>161</v>
      </c>
      <c r="M597" s="22">
        <v>4000</v>
      </c>
      <c r="N597" s="22"/>
    </row>
    <row r="598" spans="1:14">
      <c r="A598" s="6">
        <v>50</v>
      </c>
      <c r="B598" s="1" t="s">
        <v>306</v>
      </c>
      <c r="C598" s="6">
        <v>791</v>
      </c>
      <c r="D598" s="1" t="s">
        <v>355</v>
      </c>
      <c r="E598" s="12" t="s">
        <v>104</v>
      </c>
      <c r="G598" s="6">
        <v>791</v>
      </c>
      <c r="H598" s="1" t="s">
        <v>355</v>
      </c>
      <c r="I598" s="6">
        <v>900</v>
      </c>
      <c r="J598" s="1" t="str">
        <f>VLOOKUP(BUDGET!K598,IE!$A$2:$C$132,3,FALSE)</f>
        <v>Internal Transfer</v>
      </c>
      <c r="K598" s="24">
        <v>906</v>
      </c>
      <c r="L598" s="1" t="s">
        <v>162</v>
      </c>
      <c r="M598" s="22">
        <v>3000</v>
      </c>
      <c r="N598" s="22"/>
    </row>
    <row r="599" spans="1:14">
      <c r="A599" s="6"/>
      <c r="C599" s="6"/>
      <c r="M599" s="17"/>
      <c r="N599" s="17"/>
    </row>
    <row r="600" spans="1:14">
      <c r="A600" s="6"/>
      <c r="C600" s="6"/>
      <c r="M600" s="17"/>
      <c r="N600" s="17"/>
    </row>
    <row r="601" spans="1:14">
      <c r="A601" s="6"/>
      <c r="C601" s="6"/>
      <c r="M601" s="17"/>
      <c r="N601" s="17"/>
    </row>
    <row r="602" spans="1:14">
      <c r="A602" s="6"/>
      <c r="C602" s="6"/>
      <c r="M602" s="17"/>
      <c r="N602" s="17"/>
    </row>
    <row r="603" spans="1:14">
      <c r="A603" s="6"/>
      <c r="C603" s="6"/>
      <c r="M603" s="17"/>
      <c r="N603" s="17"/>
    </row>
    <row r="604" spans="1:14">
      <c r="A604" s="6"/>
      <c r="C604" s="6"/>
      <c r="M604" s="17"/>
      <c r="N604" s="17"/>
    </row>
    <row r="605" spans="1:14">
      <c r="A605" s="6"/>
      <c r="C605" s="6"/>
      <c r="M605" s="17"/>
      <c r="N605" s="17"/>
    </row>
    <row r="606" spans="1:14">
      <c r="A606" s="6"/>
      <c r="C606" s="6"/>
      <c r="M606" s="17"/>
      <c r="N606" s="17"/>
    </row>
    <row r="607" spans="1:14">
      <c r="A607" s="6"/>
      <c r="C607" s="6"/>
      <c r="M607" s="17"/>
      <c r="N607" s="17"/>
    </row>
    <row r="608" spans="1:14">
      <c r="A608" s="6"/>
      <c r="C608" s="6"/>
      <c r="M608" s="17"/>
      <c r="N608" s="17"/>
    </row>
    <row r="609" spans="1:14">
      <c r="A609" s="6"/>
      <c r="C609" s="6"/>
      <c r="M609" s="17"/>
      <c r="N609" s="17"/>
    </row>
    <row r="610" spans="1:14">
      <c r="A610" s="6"/>
      <c r="C610" s="6"/>
      <c r="M610" s="17"/>
      <c r="N610" s="17"/>
    </row>
    <row r="611" spans="1:14">
      <c r="A611" s="6"/>
      <c r="C611" s="6"/>
      <c r="M611" s="17"/>
      <c r="N611" s="17"/>
    </row>
    <row r="612" spans="1:14">
      <c r="A612" s="6"/>
      <c r="C612" s="6"/>
      <c r="M612" s="17"/>
      <c r="N612" s="17"/>
    </row>
    <row r="613" spans="1:14">
      <c r="A613" s="6"/>
      <c r="C613" s="6"/>
      <c r="M613" s="17"/>
      <c r="N613" s="17"/>
    </row>
    <row r="614" spans="1:14">
      <c r="A614" s="6"/>
      <c r="C614" s="6"/>
      <c r="M614" s="17"/>
      <c r="N614" s="17"/>
    </row>
    <row r="615" spans="1:14">
      <c r="A615" s="6"/>
      <c r="C615" s="6"/>
      <c r="M615" s="17"/>
      <c r="N615" s="17"/>
    </row>
    <row r="616" spans="1:14">
      <c r="A616" s="6"/>
      <c r="C616" s="6"/>
      <c r="M616" s="17"/>
      <c r="N616" s="17"/>
    </row>
    <row r="617" spans="1:14">
      <c r="A617" s="6"/>
      <c r="C617" s="6"/>
      <c r="M617" s="17"/>
      <c r="N617" s="17"/>
    </row>
    <row r="618" spans="1:14">
      <c r="A618" s="6"/>
      <c r="C618" s="6"/>
      <c r="M618" s="17"/>
      <c r="N618" s="17"/>
    </row>
    <row r="619" spans="1:14">
      <c r="A619" s="6"/>
      <c r="C619" s="6"/>
      <c r="M619" s="17"/>
      <c r="N619" s="17"/>
    </row>
    <row r="620" spans="1:14">
      <c r="A620" s="6"/>
      <c r="C620" s="6"/>
      <c r="M620" s="17"/>
      <c r="N620" s="17"/>
    </row>
    <row r="621" spans="1:14">
      <c r="A621" s="6"/>
      <c r="C621" s="6"/>
      <c r="M621" s="17"/>
      <c r="N621" s="17"/>
    </row>
    <row r="622" spans="1:14">
      <c r="A622" s="6"/>
      <c r="C622" s="6"/>
      <c r="M622" s="17"/>
      <c r="N622" s="17"/>
    </row>
    <row r="623" spans="1:14">
      <c r="A623" s="6"/>
      <c r="C623" s="6"/>
      <c r="M623" s="17"/>
      <c r="N623" s="17"/>
    </row>
    <row r="624" spans="1:14">
      <c r="A624" s="6"/>
      <c r="C624" s="6"/>
      <c r="M624" s="17"/>
      <c r="N624" s="17"/>
    </row>
    <row r="625" spans="1:14">
      <c r="A625" s="6"/>
      <c r="C625" s="6"/>
      <c r="M625" s="17"/>
      <c r="N625" s="17"/>
    </row>
    <row r="626" spans="1:14">
      <c r="A626" s="6"/>
      <c r="C626" s="6"/>
      <c r="M626" s="17"/>
      <c r="N626" s="17"/>
    </row>
    <row r="627" spans="1:14">
      <c r="A627" s="6"/>
      <c r="C627" s="6"/>
      <c r="M627" s="17"/>
      <c r="N627" s="17"/>
    </row>
    <row r="628" spans="1:14">
      <c r="A628" s="6"/>
      <c r="C628" s="6"/>
      <c r="M628" s="17"/>
      <c r="N628" s="17"/>
    </row>
    <row r="629" spans="1:14">
      <c r="A629" s="6"/>
      <c r="C629" s="6"/>
      <c r="M629" s="17"/>
      <c r="N629" s="17"/>
    </row>
    <row r="630" spans="1:14">
      <c r="A630" s="6"/>
      <c r="C630" s="6"/>
      <c r="M630" s="17"/>
      <c r="N630" s="17"/>
    </row>
    <row r="631" spans="1:14">
      <c r="A631" s="6"/>
      <c r="C631" s="6"/>
      <c r="M631" s="17"/>
      <c r="N631" s="17"/>
    </row>
    <row r="632" spans="1:14">
      <c r="A632" s="6"/>
      <c r="C632" s="6"/>
      <c r="M632" s="17"/>
      <c r="N632" s="17"/>
    </row>
    <row r="633" spans="1:14">
      <c r="A633" s="6"/>
      <c r="C633" s="6"/>
      <c r="M633" s="17"/>
      <c r="N633" s="17"/>
    </row>
    <row r="634" spans="1:14">
      <c r="A634" s="6"/>
      <c r="C634" s="6"/>
      <c r="M634" s="17"/>
      <c r="N634" s="17"/>
    </row>
    <row r="635" spans="1:14">
      <c r="A635" s="6"/>
      <c r="C635" s="6"/>
      <c r="M635" s="17"/>
      <c r="N635" s="17"/>
    </row>
    <row r="636" spans="1:14">
      <c r="A636" s="6"/>
      <c r="C636" s="6"/>
      <c r="M636" s="17"/>
      <c r="N636" s="17"/>
    </row>
    <row r="637" spans="1:14">
      <c r="A637" s="6"/>
      <c r="C637" s="6"/>
      <c r="M637" s="17"/>
      <c r="N637" s="17"/>
    </row>
    <row r="638" spans="1:14">
      <c r="A638" s="6"/>
      <c r="C638" s="6"/>
      <c r="M638" s="17"/>
      <c r="N638" s="17"/>
    </row>
    <row r="639" spans="1:14">
      <c r="A639" s="6"/>
      <c r="C639" s="6"/>
      <c r="M639" s="17"/>
      <c r="N639" s="17"/>
    </row>
    <row r="640" spans="1:14">
      <c r="A640" s="6"/>
      <c r="C640" s="6"/>
      <c r="M640" s="17"/>
      <c r="N640" s="17"/>
    </row>
    <row r="641" spans="1:14">
      <c r="A641" s="6"/>
      <c r="C641" s="6"/>
      <c r="M641" s="17"/>
      <c r="N641" s="17"/>
    </row>
    <row r="642" spans="1:14">
      <c r="A642" s="6"/>
      <c r="C642" s="6"/>
      <c r="M642" s="17"/>
      <c r="N642" s="17"/>
    </row>
    <row r="643" spans="1:14">
      <c r="A643" s="6"/>
      <c r="C643" s="6"/>
      <c r="M643" s="17"/>
      <c r="N643" s="17"/>
    </row>
    <row r="644" spans="1:14">
      <c r="A644" s="6"/>
      <c r="C644" s="6"/>
      <c r="M644" s="17"/>
      <c r="N644" s="17"/>
    </row>
    <row r="645" spans="1:14">
      <c r="A645" s="6"/>
      <c r="C645" s="6"/>
      <c r="M645" s="17"/>
      <c r="N645" s="17"/>
    </row>
    <row r="646" spans="1:14">
      <c r="A646" s="6"/>
      <c r="C646" s="6"/>
      <c r="M646" s="17"/>
      <c r="N646" s="17"/>
    </row>
    <row r="647" spans="1:14">
      <c r="A647" s="6"/>
      <c r="C647" s="6"/>
      <c r="M647" s="17"/>
      <c r="N647" s="17"/>
    </row>
    <row r="648" spans="1:14">
      <c r="A648" s="6"/>
      <c r="C648" s="6"/>
      <c r="M648" s="17"/>
      <c r="N648" s="17"/>
    </row>
    <row r="649" spans="1:14">
      <c r="A649" s="6"/>
      <c r="C649" s="6"/>
      <c r="M649" s="17"/>
      <c r="N649" s="17"/>
    </row>
    <row r="650" spans="1:14">
      <c r="A650" s="6"/>
      <c r="C650" s="6"/>
      <c r="M650" s="17"/>
      <c r="N650" s="17"/>
    </row>
    <row r="651" spans="1:14">
      <c r="A651" s="6"/>
      <c r="C651" s="6"/>
      <c r="M651" s="17"/>
      <c r="N651" s="17"/>
    </row>
    <row r="652" spans="1:14">
      <c r="A652" s="6"/>
      <c r="C652" s="6"/>
      <c r="M652" s="17"/>
      <c r="N652" s="17"/>
    </row>
    <row r="653" spans="1:14">
      <c r="A653" s="6"/>
      <c r="C653" s="6"/>
      <c r="M653" s="17"/>
      <c r="N653" s="17"/>
    </row>
    <row r="654" spans="1:14">
      <c r="A654" s="6"/>
      <c r="C654" s="6"/>
      <c r="M654" s="17"/>
      <c r="N654" s="17"/>
    </row>
    <row r="655" spans="1:14">
      <c r="A655" s="6"/>
      <c r="C655" s="6"/>
      <c r="M655" s="17"/>
      <c r="N655" s="17"/>
    </row>
    <row r="656" spans="1:14">
      <c r="A656" s="6"/>
      <c r="C656" s="6"/>
      <c r="M656" s="17"/>
      <c r="N656" s="17"/>
    </row>
    <row r="657" spans="1:14">
      <c r="A657" s="6"/>
      <c r="C657" s="6"/>
      <c r="M657" s="17"/>
      <c r="N657" s="17"/>
    </row>
    <row r="658" spans="1:14">
      <c r="A658" s="6"/>
      <c r="C658" s="6"/>
      <c r="M658" s="17"/>
      <c r="N658" s="17"/>
    </row>
    <row r="659" spans="1:14">
      <c r="A659" s="6"/>
      <c r="C659" s="6"/>
      <c r="M659" s="17"/>
      <c r="N659" s="17"/>
    </row>
    <row r="660" spans="1:14">
      <c r="A660" s="6"/>
      <c r="C660" s="6"/>
      <c r="M660" s="17"/>
      <c r="N660" s="17"/>
    </row>
    <row r="661" spans="1:14">
      <c r="A661" s="6"/>
      <c r="C661" s="6"/>
      <c r="M661" s="17"/>
      <c r="N661" s="17"/>
    </row>
    <row r="662" spans="1:14">
      <c r="A662" s="6"/>
      <c r="C662" s="6"/>
      <c r="M662" s="17"/>
      <c r="N662" s="17"/>
    </row>
    <row r="663" spans="1:14">
      <c r="A663" s="6"/>
      <c r="C663" s="6"/>
      <c r="M663" s="17"/>
      <c r="N663" s="17"/>
    </row>
    <row r="664" spans="1:14">
      <c r="A664" s="6"/>
      <c r="C664" s="6"/>
      <c r="M664" s="17"/>
      <c r="N664" s="17"/>
    </row>
    <row r="665" spans="1:14">
      <c r="A665" s="6"/>
      <c r="C665" s="6"/>
      <c r="M665" s="17"/>
      <c r="N665" s="17"/>
    </row>
    <row r="666" spans="1:14">
      <c r="A666" s="6"/>
      <c r="C666" s="6"/>
      <c r="M666" s="17"/>
      <c r="N666" s="17"/>
    </row>
    <row r="667" spans="1:14">
      <c r="A667" s="6"/>
      <c r="C667" s="6"/>
      <c r="M667" s="17"/>
      <c r="N667" s="17"/>
    </row>
    <row r="668" spans="1:14">
      <c r="A668" s="6"/>
      <c r="C668" s="6"/>
      <c r="M668" s="17"/>
      <c r="N668" s="17"/>
    </row>
    <row r="669" spans="1:14">
      <c r="A669" s="6"/>
      <c r="C669" s="6"/>
      <c r="M669" s="17"/>
      <c r="N669" s="17"/>
    </row>
    <row r="670" spans="1:14">
      <c r="A670" s="6"/>
      <c r="C670" s="6"/>
      <c r="M670" s="17"/>
      <c r="N670" s="17"/>
    </row>
    <row r="671" spans="1:14">
      <c r="A671" s="6"/>
      <c r="C671" s="6"/>
      <c r="M671" s="17"/>
      <c r="N671" s="17"/>
    </row>
    <row r="672" spans="1:14">
      <c r="A672" s="6"/>
      <c r="C672" s="6"/>
      <c r="M672" s="17"/>
      <c r="N672" s="17"/>
    </row>
    <row r="673" spans="1:14">
      <c r="A673" s="6"/>
      <c r="C673" s="6"/>
      <c r="M673" s="17"/>
      <c r="N673" s="17"/>
    </row>
    <row r="674" spans="1:14">
      <c r="A674" s="6"/>
      <c r="C674" s="6"/>
      <c r="M674" s="17"/>
      <c r="N674" s="17"/>
    </row>
    <row r="675" spans="1:14">
      <c r="A675" s="6"/>
      <c r="C675" s="6"/>
      <c r="M675" s="17"/>
      <c r="N675" s="17"/>
    </row>
    <row r="676" spans="1:14">
      <c r="A676" s="6"/>
      <c r="C676" s="6"/>
      <c r="M676" s="17"/>
      <c r="N676" s="17"/>
    </row>
    <row r="677" spans="1:14">
      <c r="A677" s="6"/>
      <c r="C677" s="6"/>
      <c r="M677" s="17"/>
      <c r="N677" s="17"/>
    </row>
    <row r="678" spans="1:14">
      <c r="A678" s="6"/>
      <c r="C678" s="6"/>
      <c r="M678" s="17"/>
      <c r="N678" s="17"/>
    </row>
    <row r="679" spans="1:14">
      <c r="A679" s="6"/>
      <c r="C679" s="6"/>
      <c r="M679" s="17"/>
      <c r="N679" s="17"/>
    </row>
    <row r="680" spans="1:14">
      <c r="A680" s="6"/>
      <c r="C680" s="6"/>
      <c r="M680" s="17"/>
      <c r="N680" s="17"/>
    </row>
  </sheetData>
  <autoFilter ref="A2:O598">
    <filterColumn colId="10"/>
    <filterColumn colId="13"/>
  </autoFilter>
  <pageMargins left="0.11811023622047245" right="0.11811023622047245" top="0.55118110236220474" bottom="0.35433070866141736" header="0.31496062992125984" footer="0.31496062992125984"/>
  <pageSetup paperSize="9" scale="83" fitToHeight="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2"/>
  <sheetViews>
    <sheetView topLeftCell="A78" workbookViewId="0">
      <selection activeCell="B119" sqref="B119"/>
    </sheetView>
  </sheetViews>
  <sheetFormatPr defaultRowHeight="14.25"/>
  <cols>
    <col min="2" max="2" width="39" bestFit="1" customWidth="1"/>
  </cols>
  <sheetData>
    <row r="1" spans="1:3" ht="15">
      <c r="A1" s="10" t="s">
        <v>373</v>
      </c>
      <c r="B1" s="10" t="s">
        <v>374</v>
      </c>
      <c r="C1" s="10" t="s">
        <v>375</v>
      </c>
    </row>
    <row r="2" spans="1:3">
      <c r="A2">
        <v>101</v>
      </c>
      <c r="B2" t="s">
        <v>352</v>
      </c>
      <c r="C2" s="9" t="s">
        <v>372</v>
      </c>
    </row>
    <row r="3" spans="1:3">
      <c r="A3">
        <v>111</v>
      </c>
      <c r="B3" t="s">
        <v>241</v>
      </c>
      <c r="C3" s="9" t="s">
        <v>240</v>
      </c>
    </row>
    <row r="4" spans="1:3">
      <c r="A4">
        <v>112</v>
      </c>
      <c r="B4" t="s">
        <v>278</v>
      </c>
      <c r="C4" s="9" t="s">
        <v>240</v>
      </c>
    </row>
    <row r="5" spans="1:3">
      <c r="A5">
        <v>113</v>
      </c>
      <c r="B5" t="s">
        <v>242</v>
      </c>
      <c r="C5" s="9" t="s">
        <v>240</v>
      </c>
    </row>
    <row r="6" spans="1:3">
      <c r="A6">
        <v>121</v>
      </c>
      <c r="B6" t="s">
        <v>243</v>
      </c>
      <c r="C6" s="9" t="s">
        <v>240</v>
      </c>
    </row>
    <row r="7" spans="1:3">
      <c r="A7">
        <v>122</v>
      </c>
      <c r="B7" t="s">
        <v>320</v>
      </c>
      <c r="C7" s="9" t="s">
        <v>240</v>
      </c>
    </row>
    <row r="8" spans="1:3">
      <c r="A8">
        <v>123</v>
      </c>
      <c r="B8" t="s">
        <v>132</v>
      </c>
      <c r="C8" s="9" t="s">
        <v>240</v>
      </c>
    </row>
    <row r="9" spans="1:3">
      <c r="A9">
        <v>124</v>
      </c>
      <c r="B9" t="s">
        <v>133</v>
      </c>
      <c r="C9" s="9" t="s">
        <v>240</v>
      </c>
    </row>
    <row r="10" spans="1:3">
      <c r="A10">
        <v>126</v>
      </c>
      <c r="B10" t="s">
        <v>321</v>
      </c>
      <c r="C10" s="9" t="s">
        <v>240</v>
      </c>
    </row>
    <row r="11" spans="1:3">
      <c r="A11">
        <v>127</v>
      </c>
      <c r="B11" t="s">
        <v>261</v>
      </c>
      <c r="C11" s="9" t="s">
        <v>240</v>
      </c>
    </row>
    <row r="12" spans="1:3">
      <c r="A12">
        <v>130</v>
      </c>
      <c r="B12" t="s">
        <v>322</v>
      </c>
      <c r="C12" s="9" t="s">
        <v>240</v>
      </c>
    </row>
    <row r="13" spans="1:3">
      <c r="A13">
        <v>131</v>
      </c>
      <c r="B13" t="s">
        <v>154</v>
      </c>
      <c r="C13" s="9" t="s">
        <v>240</v>
      </c>
    </row>
    <row r="14" spans="1:3">
      <c r="A14">
        <v>132</v>
      </c>
      <c r="B14" t="s">
        <v>268</v>
      </c>
      <c r="C14" s="9" t="s">
        <v>240</v>
      </c>
    </row>
    <row r="15" spans="1:3">
      <c r="A15">
        <v>133</v>
      </c>
      <c r="B15" t="s">
        <v>165</v>
      </c>
      <c r="C15" s="9" t="s">
        <v>240</v>
      </c>
    </row>
    <row r="16" spans="1:3">
      <c r="A16">
        <v>137</v>
      </c>
      <c r="B16" t="s">
        <v>244</v>
      </c>
      <c r="C16" s="9" t="s">
        <v>377</v>
      </c>
    </row>
    <row r="17" spans="1:3">
      <c r="A17">
        <v>141</v>
      </c>
      <c r="B17" t="s">
        <v>282</v>
      </c>
      <c r="C17" s="9" t="s">
        <v>376</v>
      </c>
    </row>
    <row r="18" spans="1:3">
      <c r="A18">
        <v>142</v>
      </c>
      <c r="B18" t="s">
        <v>314</v>
      </c>
      <c r="C18" s="9" t="s">
        <v>376</v>
      </c>
    </row>
    <row r="19" spans="1:3">
      <c r="A19">
        <v>143</v>
      </c>
      <c r="B19" t="s">
        <v>283</v>
      </c>
      <c r="C19" s="9" t="s">
        <v>376</v>
      </c>
    </row>
    <row r="20" spans="1:3">
      <c r="A20">
        <v>144</v>
      </c>
      <c r="B20" t="s">
        <v>260</v>
      </c>
      <c r="C20" s="9" t="s">
        <v>376</v>
      </c>
    </row>
    <row r="21" spans="1:3">
      <c r="A21">
        <v>145</v>
      </c>
      <c r="B21" t="s">
        <v>246</v>
      </c>
      <c r="C21" s="9" t="s">
        <v>377</v>
      </c>
    </row>
    <row r="22" spans="1:3">
      <c r="A22">
        <v>150</v>
      </c>
      <c r="B22" t="s">
        <v>245</v>
      </c>
      <c r="C22" s="9" t="s">
        <v>245</v>
      </c>
    </row>
    <row r="23" spans="1:3">
      <c r="A23">
        <v>151</v>
      </c>
      <c r="B23" t="s">
        <v>329</v>
      </c>
      <c r="C23" s="9" t="s">
        <v>378</v>
      </c>
    </row>
    <row r="24" spans="1:3">
      <c r="A24">
        <v>152</v>
      </c>
      <c r="B24" t="s">
        <v>309</v>
      </c>
      <c r="C24" s="9" t="s">
        <v>378</v>
      </c>
    </row>
    <row r="25" spans="1:3">
      <c r="A25">
        <v>153</v>
      </c>
      <c r="B25" t="s">
        <v>311</v>
      </c>
      <c r="C25" s="9" t="s">
        <v>378</v>
      </c>
    </row>
    <row r="26" spans="1:3">
      <c r="A26">
        <v>155</v>
      </c>
      <c r="B26" t="s">
        <v>326</v>
      </c>
      <c r="C26" s="9" t="s">
        <v>378</v>
      </c>
    </row>
    <row r="27" spans="1:3">
      <c r="A27">
        <v>159</v>
      </c>
      <c r="B27" t="s">
        <v>208</v>
      </c>
      <c r="C27" s="9" t="s">
        <v>378</v>
      </c>
    </row>
    <row r="28" spans="1:3">
      <c r="A28">
        <v>160</v>
      </c>
      <c r="B28" t="s">
        <v>253</v>
      </c>
      <c r="C28" s="9" t="s">
        <v>378</v>
      </c>
    </row>
    <row r="29" spans="1:3">
      <c r="A29">
        <v>161</v>
      </c>
      <c r="B29" t="s">
        <v>269</v>
      </c>
      <c r="C29" s="9" t="s">
        <v>378</v>
      </c>
    </row>
    <row r="30" spans="1:3">
      <c r="A30">
        <v>162</v>
      </c>
      <c r="B30" t="s">
        <v>135</v>
      </c>
      <c r="C30" s="9" t="s">
        <v>378</v>
      </c>
    </row>
    <row r="31" spans="1:3">
      <c r="A31">
        <v>163</v>
      </c>
      <c r="B31" t="s">
        <v>254</v>
      </c>
      <c r="C31" s="9" t="s">
        <v>378</v>
      </c>
    </row>
    <row r="32" spans="1:3">
      <c r="A32">
        <v>164</v>
      </c>
      <c r="B32" t="s">
        <v>247</v>
      </c>
      <c r="C32" s="9" t="s">
        <v>377</v>
      </c>
    </row>
    <row r="33" spans="1:3">
      <c r="A33">
        <v>165</v>
      </c>
      <c r="B33" t="s">
        <v>248</v>
      </c>
      <c r="C33" s="9" t="s">
        <v>377</v>
      </c>
    </row>
    <row r="34" spans="1:3">
      <c r="A34">
        <v>169</v>
      </c>
      <c r="B34" t="s">
        <v>249</v>
      </c>
      <c r="C34" s="9" t="s">
        <v>377</v>
      </c>
    </row>
    <row r="35" spans="1:3">
      <c r="A35">
        <v>171</v>
      </c>
      <c r="B35" t="s">
        <v>270</v>
      </c>
      <c r="C35" s="9" t="s">
        <v>377</v>
      </c>
    </row>
    <row r="36" spans="1:3">
      <c r="A36">
        <v>172</v>
      </c>
      <c r="B36" t="s">
        <v>134</v>
      </c>
      <c r="C36" s="9" t="s">
        <v>378</v>
      </c>
    </row>
    <row r="37" spans="1:3">
      <c r="A37">
        <v>174</v>
      </c>
      <c r="B37" t="s">
        <v>209</v>
      </c>
      <c r="C37" s="9" t="s">
        <v>378</v>
      </c>
    </row>
    <row r="38" spans="1:3">
      <c r="A38">
        <v>180</v>
      </c>
      <c r="B38" t="s">
        <v>116</v>
      </c>
      <c r="C38" s="9" t="s">
        <v>379</v>
      </c>
    </row>
    <row r="39" spans="1:3">
      <c r="A39">
        <v>181</v>
      </c>
      <c r="B39" t="s">
        <v>108</v>
      </c>
      <c r="C39" s="9" t="s">
        <v>379</v>
      </c>
    </row>
    <row r="40" spans="1:3">
      <c r="A40">
        <v>182</v>
      </c>
      <c r="B40" t="s">
        <v>151</v>
      </c>
      <c r="C40" s="9" t="s">
        <v>379</v>
      </c>
    </row>
    <row r="41" spans="1:3">
      <c r="A41">
        <v>183</v>
      </c>
      <c r="B41" t="s">
        <v>340</v>
      </c>
      <c r="C41" s="9" t="s">
        <v>380</v>
      </c>
    </row>
    <row r="42" spans="1:3">
      <c r="A42">
        <v>184</v>
      </c>
      <c r="B42" t="s">
        <v>336</v>
      </c>
      <c r="C42" s="9" t="s">
        <v>380</v>
      </c>
    </row>
    <row r="43" spans="1:3">
      <c r="A43">
        <v>185</v>
      </c>
      <c r="B43" t="s">
        <v>173</v>
      </c>
      <c r="C43" s="9" t="s">
        <v>379</v>
      </c>
    </row>
    <row r="44" spans="1:3">
      <c r="A44">
        <v>186</v>
      </c>
      <c r="B44" t="s">
        <v>115</v>
      </c>
      <c r="C44" s="9" t="s">
        <v>379</v>
      </c>
    </row>
    <row r="45" spans="1:3">
      <c r="A45">
        <v>187</v>
      </c>
      <c r="B45" t="s">
        <v>481</v>
      </c>
      <c r="C45" s="9" t="s">
        <v>377</v>
      </c>
    </row>
    <row r="46" spans="1:3">
      <c r="A46">
        <v>188</v>
      </c>
      <c r="B46" t="s">
        <v>126</v>
      </c>
      <c r="C46" s="9" t="s">
        <v>378</v>
      </c>
    </row>
    <row r="47" spans="1:3">
      <c r="A47">
        <v>189</v>
      </c>
      <c r="B47" t="s">
        <v>344</v>
      </c>
      <c r="C47" s="9" t="s">
        <v>378</v>
      </c>
    </row>
    <row r="48" spans="1:3">
      <c r="A48">
        <v>190</v>
      </c>
      <c r="B48" t="s">
        <v>250</v>
      </c>
      <c r="C48" s="9" t="s">
        <v>378</v>
      </c>
    </row>
    <row r="49" spans="1:3">
      <c r="A49">
        <v>194</v>
      </c>
      <c r="B49" t="s">
        <v>289</v>
      </c>
      <c r="C49" s="9" t="s">
        <v>377</v>
      </c>
    </row>
    <row r="50" spans="1:3">
      <c r="A50">
        <v>210</v>
      </c>
      <c r="B50" t="s">
        <v>117</v>
      </c>
      <c r="C50" s="9" t="s">
        <v>117</v>
      </c>
    </row>
    <row r="51" spans="1:3">
      <c r="A51">
        <v>220</v>
      </c>
      <c r="B51" t="s">
        <v>235</v>
      </c>
      <c r="C51" s="9" t="s">
        <v>117</v>
      </c>
    </row>
    <row r="52" spans="1:3">
      <c r="A52">
        <v>240</v>
      </c>
      <c r="B52" t="s">
        <v>118</v>
      </c>
      <c r="C52" s="9" t="s">
        <v>117</v>
      </c>
    </row>
    <row r="53" spans="1:3">
      <c r="A53">
        <v>250</v>
      </c>
      <c r="B53" t="s">
        <v>186</v>
      </c>
      <c r="C53" s="9" t="s">
        <v>117</v>
      </c>
    </row>
    <row r="54" spans="1:3">
      <c r="A54">
        <v>251</v>
      </c>
      <c r="B54" t="s">
        <v>204</v>
      </c>
      <c r="C54" s="9" t="s">
        <v>117</v>
      </c>
    </row>
    <row r="55" spans="1:3">
      <c r="A55">
        <v>252</v>
      </c>
      <c r="B55" t="s">
        <v>180</v>
      </c>
      <c r="C55" s="9" t="s">
        <v>117</v>
      </c>
    </row>
    <row r="56" spans="1:3">
      <c r="A56">
        <v>253</v>
      </c>
      <c r="B56" t="s">
        <v>136</v>
      </c>
      <c r="C56" s="9" t="s">
        <v>117</v>
      </c>
    </row>
    <row r="57" spans="1:3">
      <c r="A57">
        <v>254</v>
      </c>
      <c r="B57" t="s">
        <v>137</v>
      </c>
      <c r="C57" s="9" t="s">
        <v>117</v>
      </c>
    </row>
    <row r="58" spans="1:3">
      <c r="A58">
        <v>255</v>
      </c>
      <c r="B58" t="s">
        <v>138</v>
      </c>
      <c r="C58" s="9" t="s">
        <v>117</v>
      </c>
    </row>
    <row r="59" spans="1:3">
      <c r="A59">
        <v>256</v>
      </c>
      <c r="B59" t="s">
        <v>119</v>
      </c>
      <c r="C59" s="9" t="s">
        <v>117</v>
      </c>
    </row>
    <row r="60" spans="1:3">
      <c r="A60">
        <v>280</v>
      </c>
      <c r="B60" t="s">
        <v>272</v>
      </c>
      <c r="C60" s="9" t="s">
        <v>381</v>
      </c>
    </row>
    <row r="61" spans="1:3">
      <c r="A61">
        <v>281</v>
      </c>
      <c r="B61" t="s">
        <v>273</v>
      </c>
      <c r="C61" s="9" t="s">
        <v>381</v>
      </c>
    </row>
    <row r="62" spans="1:3">
      <c r="A62">
        <v>282</v>
      </c>
      <c r="B62" t="s">
        <v>327</v>
      </c>
      <c r="C62" s="9" t="s">
        <v>381</v>
      </c>
    </row>
    <row r="63" spans="1:3">
      <c r="A63">
        <v>284</v>
      </c>
      <c r="B63" t="s">
        <v>139</v>
      </c>
      <c r="C63" s="9" t="s">
        <v>381</v>
      </c>
    </row>
    <row r="64" spans="1:3">
      <c r="A64">
        <v>285</v>
      </c>
      <c r="B64" t="s">
        <v>256</v>
      </c>
      <c r="C64" s="9" t="s">
        <v>381</v>
      </c>
    </row>
    <row r="65" spans="1:3">
      <c r="A65">
        <v>286</v>
      </c>
      <c r="B65" t="s">
        <v>140</v>
      </c>
      <c r="C65" s="9" t="s">
        <v>381</v>
      </c>
    </row>
    <row r="66" spans="1:3">
      <c r="A66">
        <v>302</v>
      </c>
      <c r="B66" t="s">
        <v>227</v>
      </c>
      <c r="C66" s="9" t="s">
        <v>382</v>
      </c>
    </row>
    <row r="67" spans="1:3">
      <c r="A67">
        <v>311</v>
      </c>
      <c r="B67" t="s">
        <v>226</v>
      </c>
      <c r="C67" s="9" t="s">
        <v>382</v>
      </c>
    </row>
    <row r="68" spans="1:3">
      <c r="A68">
        <v>317</v>
      </c>
      <c r="B68" t="s">
        <v>120</v>
      </c>
      <c r="C68" s="9" t="s">
        <v>382</v>
      </c>
    </row>
    <row r="69" spans="1:3">
      <c r="A69">
        <v>319</v>
      </c>
      <c r="B69" t="s">
        <v>167</v>
      </c>
      <c r="C69" s="9" t="s">
        <v>382</v>
      </c>
    </row>
    <row r="70" spans="1:3">
      <c r="A70">
        <v>320</v>
      </c>
      <c r="B70" t="s">
        <v>190</v>
      </c>
      <c r="C70" s="9" t="s">
        <v>382</v>
      </c>
    </row>
    <row r="71" spans="1:3">
      <c r="A71">
        <v>321</v>
      </c>
      <c r="B71" t="s">
        <v>191</v>
      </c>
      <c r="C71" s="9" t="s">
        <v>382</v>
      </c>
    </row>
    <row r="72" spans="1:3">
      <c r="A72">
        <v>323</v>
      </c>
      <c r="B72" t="s">
        <v>183</v>
      </c>
      <c r="C72" s="9" t="s">
        <v>382</v>
      </c>
    </row>
    <row r="73" spans="1:3">
      <c r="A73">
        <v>324</v>
      </c>
      <c r="B73" t="s">
        <v>189</v>
      </c>
      <c r="C73" s="9" t="s">
        <v>382</v>
      </c>
    </row>
    <row r="74" spans="1:3">
      <c r="A74">
        <v>325</v>
      </c>
      <c r="B74" t="s">
        <v>168</v>
      </c>
      <c r="C74" s="9" t="s">
        <v>382</v>
      </c>
    </row>
    <row r="75" spans="1:3">
      <c r="A75">
        <v>326</v>
      </c>
      <c r="B75" t="s">
        <v>228</v>
      </c>
      <c r="C75" s="9" t="s">
        <v>382</v>
      </c>
    </row>
    <row r="76" spans="1:3">
      <c r="A76">
        <v>329</v>
      </c>
      <c r="B76" t="s">
        <v>222</v>
      </c>
      <c r="C76" s="9" t="s">
        <v>382</v>
      </c>
    </row>
    <row r="77" spans="1:3">
      <c r="A77">
        <v>331</v>
      </c>
      <c r="B77" t="s">
        <v>217</v>
      </c>
      <c r="C77" s="9" t="s">
        <v>382</v>
      </c>
    </row>
    <row r="78" spans="1:3">
      <c r="A78">
        <v>333</v>
      </c>
      <c r="B78" t="s">
        <v>169</v>
      </c>
      <c r="C78" s="9" t="s">
        <v>382</v>
      </c>
    </row>
    <row r="79" spans="1:3">
      <c r="A79">
        <v>335</v>
      </c>
      <c r="B79" t="s">
        <v>110</v>
      </c>
      <c r="C79" s="9" t="s">
        <v>382</v>
      </c>
    </row>
    <row r="80" spans="1:3">
      <c r="A80">
        <v>337</v>
      </c>
      <c r="B80" t="s">
        <v>328</v>
      </c>
      <c r="C80" s="9" t="s">
        <v>382</v>
      </c>
    </row>
    <row r="81" spans="1:3">
      <c r="A81">
        <v>339</v>
      </c>
      <c r="B81" t="s">
        <v>274</v>
      </c>
      <c r="C81" s="9" t="s">
        <v>382</v>
      </c>
    </row>
    <row r="82" spans="1:3">
      <c r="A82">
        <v>341</v>
      </c>
      <c r="B82" t="s">
        <v>187</v>
      </c>
      <c r="C82" s="9" t="s">
        <v>382</v>
      </c>
    </row>
    <row r="83" spans="1:3">
      <c r="A83">
        <v>345</v>
      </c>
      <c r="B83" t="s">
        <v>193</v>
      </c>
      <c r="C83" s="9" t="s">
        <v>382</v>
      </c>
    </row>
    <row r="84" spans="1:3">
      <c r="A84">
        <v>347</v>
      </c>
      <c r="B84" t="s">
        <v>194</v>
      </c>
      <c r="C84" s="9" t="s">
        <v>382</v>
      </c>
    </row>
    <row r="85" spans="1:3">
      <c r="A85">
        <v>350</v>
      </c>
      <c r="B85" t="s">
        <v>121</v>
      </c>
      <c r="C85" s="9" t="s">
        <v>382</v>
      </c>
    </row>
    <row r="86" spans="1:3">
      <c r="A86">
        <v>351</v>
      </c>
      <c r="B86" t="s">
        <v>223</v>
      </c>
      <c r="C86" s="9" t="s">
        <v>382</v>
      </c>
    </row>
    <row r="87" spans="1:3">
      <c r="A87">
        <v>352</v>
      </c>
      <c r="B87" t="s">
        <v>224</v>
      </c>
      <c r="C87" s="9" t="s">
        <v>382</v>
      </c>
    </row>
    <row r="88" spans="1:3">
      <c r="A88">
        <v>353</v>
      </c>
      <c r="B88" t="s">
        <v>112</v>
      </c>
      <c r="C88" s="9" t="s">
        <v>382</v>
      </c>
    </row>
    <row r="89" spans="1:3">
      <c r="A89">
        <v>355</v>
      </c>
      <c r="B89" t="s">
        <v>122</v>
      </c>
      <c r="C89" s="9" t="s">
        <v>382</v>
      </c>
    </row>
    <row r="90" spans="1:3">
      <c r="A90">
        <v>356</v>
      </c>
      <c r="B90" t="s">
        <v>160</v>
      </c>
      <c r="C90" s="9" t="s">
        <v>382</v>
      </c>
    </row>
    <row r="91" spans="1:3">
      <c r="A91">
        <v>357</v>
      </c>
      <c r="B91" t="s">
        <v>145</v>
      </c>
      <c r="C91" s="9" t="s">
        <v>383</v>
      </c>
    </row>
    <row r="92" spans="1:3">
      <c r="A92">
        <v>358</v>
      </c>
      <c r="B92" t="s">
        <v>111</v>
      </c>
      <c r="C92" s="9" t="s">
        <v>382</v>
      </c>
    </row>
    <row r="93" spans="1:3">
      <c r="A93">
        <v>359</v>
      </c>
      <c r="B93" t="s">
        <v>143</v>
      </c>
      <c r="C93" s="9" t="s">
        <v>382</v>
      </c>
    </row>
    <row r="94" spans="1:3">
      <c r="A94">
        <v>360</v>
      </c>
      <c r="B94" t="s">
        <v>275</v>
      </c>
      <c r="C94" s="9" t="s">
        <v>382</v>
      </c>
    </row>
    <row r="95" spans="1:3">
      <c r="A95">
        <v>362</v>
      </c>
      <c r="B95" t="s">
        <v>225</v>
      </c>
      <c r="C95" s="9" t="s">
        <v>382</v>
      </c>
    </row>
    <row r="96" spans="1:3">
      <c r="A96">
        <v>363</v>
      </c>
      <c r="B96" t="s">
        <v>188</v>
      </c>
      <c r="C96" s="9" t="s">
        <v>382</v>
      </c>
    </row>
    <row r="97" spans="1:3">
      <c r="A97">
        <v>364</v>
      </c>
      <c r="B97" t="s">
        <v>141</v>
      </c>
      <c r="C97" s="9" t="s">
        <v>382</v>
      </c>
    </row>
    <row r="98" spans="1:3">
      <c r="A98">
        <v>365</v>
      </c>
      <c r="B98" t="s">
        <v>298</v>
      </c>
      <c r="C98" s="9" t="s">
        <v>382</v>
      </c>
    </row>
    <row r="99" spans="1:3">
      <c r="A99">
        <v>366</v>
      </c>
      <c r="B99" t="s">
        <v>142</v>
      </c>
      <c r="C99" s="9" t="s">
        <v>382</v>
      </c>
    </row>
    <row r="100" spans="1:3">
      <c r="A100">
        <v>367</v>
      </c>
      <c r="B100" t="s">
        <v>174</v>
      </c>
      <c r="C100" s="9" t="s">
        <v>382</v>
      </c>
    </row>
    <row r="101" spans="1:3">
      <c r="A101">
        <v>369</v>
      </c>
      <c r="B101" t="s">
        <v>123</v>
      </c>
      <c r="C101" s="9" t="s">
        <v>382</v>
      </c>
    </row>
    <row r="102" spans="1:3">
      <c r="A102">
        <v>371</v>
      </c>
      <c r="B102" t="s">
        <v>156</v>
      </c>
      <c r="C102" s="9" t="s">
        <v>382</v>
      </c>
    </row>
    <row r="103" spans="1:3">
      <c r="A103">
        <v>373</v>
      </c>
      <c r="B103" t="s">
        <v>124</v>
      </c>
      <c r="C103" s="9" t="s">
        <v>382</v>
      </c>
    </row>
    <row r="104" spans="1:3">
      <c r="A104">
        <v>375</v>
      </c>
      <c r="B104" t="s">
        <v>310</v>
      </c>
      <c r="C104" s="9" t="s">
        <v>382</v>
      </c>
    </row>
    <row r="105" spans="1:3">
      <c r="A105">
        <v>378</v>
      </c>
      <c r="B105" t="s">
        <v>263</v>
      </c>
      <c r="C105" s="9" t="s">
        <v>384</v>
      </c>
    </row>
    <row r="106" spans="1:3">
      <c r="A106">
        <v>380</v>
      </c>
      <c r="B106" t="s">
        <v>127</v>
      </c>
      <c r="C106" s="9" t="s">
        <v>384</v>
      </c>
    </row>
    <row r="107" spans="1:3">
      <c r="A107">
        <v>382</v>
      </c>
      <c r="B107" t="s">
        <v>144</v>
      </c>
      <c r="C107" s="9" t="s">
        <v>384</v>
      </c>
    </row>
    <row r="108" spans="1:3">
      <c r="A108">
        <v>389</v>
      </c>
      <c r="B108" t="s">
        <v>299</v>
      </c>
      <c r="C108" s="9" t="s">
        <v>157</v>
      </c>
    </row>
    <row r="109" spans="1:3">
      <c r="A109">
        <v>390</v>
      </c>
      <c r="B109" t="s">
        <v>301</v>
      </c>
      <c r="C109" s="9" t="s">
        <v>157</v>
      </c>
    </row>
    <row r="110" spans="1:3">
      <c r="A110">
        <v>391</v>
      </c>
      <c r="B110" t="s">
        <v>300</v>
      </c>
      <c r="C110" s="9" t="s">
        <v>157</v>
      </c>
    </row>
    <row r="111" spans="1:3">
      <c r="A111">
        <v>392</v>
      </c>
      <c r="B111" t="s">
        <v>181</v>
      </c>
      <c r="C111" s="9" t="s">
        <v>157</v>
      </c>
    </row>
    <row r="112" spans="1:3">
      <c r="A112">
        <v>393</v>
      </c>
      <c r="B112" t="s">
        <v>199</v>
      </c>
      <c r="C112" s="9" t="s">
        <v>157</v>
      </c>
    </row>
    <row r="113" spans="1:3">
      <c r="A113">
        <v>394</v>
      </c>
      <c r="B113" t="s">
        <v>158</v>
      </c>
      <c r="C113" s="9" t="s">
        <v>157</v>
      </c>
    </row>
    <row r="114" spans="1:3">
      <c r="A114">
        <v>395</v>
      </c>
      <c r="B114" t="s">
        <v>159</v>
      </c>
      <c r="C114" s="9" t="s">
        <v>157</v>
      </c>
    </row>
    <row r="115" spans="1:3">
      <c r="A115">
        <v>396</v>
      </c>
      <c r="B115" t="s">
        <v>129</v>
      </c>
      <c r="C115" s="9" t="s">
        <v>230</v>
      </c>
    </row>
    <row r="116" spans="1:3">
      <c r="A116">
        <v>397</v>
      </c>
      <c r="B116" t="s">
        <v>128</v>
      </c>
      <c r="C116" s="9" t="s">
        <v>382</v>
      </c>
    </row>
    <row r="117" spans="1:3">
      <c r="A117">
        <v>401</v>
      </c>
      <c r="B117" t="s">
        <v>231</v>
      </c>
      <c r="C117" s="9" t="s">
        <v>230</v>
      </c>
    </row>
    <row r="118" spans="1:3">
      <c r="A118">
        <v>404</v>
      </c>
      <c r="B118" t="s">
        <v>229</v>
      </c>
      <c r="C118" s="9" t="s">
        <v>383</v>
      </c>
    </row>
    <row r="119" spans="1:3">
      <c r="A119">
        <v>440</v>
      </c>
      <c r="B119" t="s">
        <v>555</v>
      </c>
      <c r="C119" s="9" t="s">
        <v>382</v>
      </c>
    </row>
    <row r="120" spans="1:3">
      <c r="A120">
        <v>810</v>
      </c>
      <c r="B120" t="s">
        <v>182</v>
      </c>
      <c r="C120" s="9" t="s">
        <v>383</v>
      </c>
    </row>
    <row r="121" spans="1:3">
      <c r="A121">
        <v>901</v>
      </c>
      <c r="B121" t="s">
        <v>146</v>
      </c>
      <c r="C121" s="9" t="s">
        <v>385</v>
      </c>
    </row>
    <row r="122" spans="1:3">
      <c r="A122">
        <v>902</v>
      </c>
      <c r="B122" t="s">
        <v>200</v>
      </c>
      <c r="C122" s="9" t="s">
        <v>385</v>
      </c>
    </row>
    <row r="123" spans="1:3">
      <c r="A123">
        <v>903</v>
      </c>
      <c r="B123" t="s">
        <v>147</v>
      </c>
      <c r="C123" s="9" t="s">
        <v>385</v>
      </c>
    </row>
    <row r="124" spans="1:3">
      <c r="A124">
        <v>904</v>
      </c>
      <c r="B124" t="s">
        <v>161</v>
      </c>
      <c r="C124" s="9" t="s">
        <v>385</v>
      </c>
    </row>
    <row r="125" spans="1:3">
      <c r="A125">
        <v>905</v>
      </c>
      <c r="B125" t="s">
        <v>148</v>
      </c>
      <c r="C125" s="9" t="s">
        <v>385</v>
      </c>
    </row>
    <row r="126" spans="1:3">
      <c r="A126">
        <v>906</v>
      </c>
      <c r="B126" t="s">
        <v>162</v>
      </c>
      <c r="C126" s="9" t="s">
        <v>385</v>
      </c>
    </row>
    <row r="127" spans="1:3">
      <c r="A127">
        <v>908</v>
      </c>
      <c r="B127" t="s">
        <v>279</v>
      </c>
      <c r="C127" s="9" t="s">
        <v>385</v>
      </c>
    </row>
    <row r="128" spans="1:3">
      <c r="A128">
        <v>909</v>
      </c>
      <c r="B128" t="s">
        <v>334</v>
      </c>
      <c r="C128" s="9" t="s">
        <v>385</v>
      </c>
    </row>
    <row r="129" spans="1:3">
      <c r="A129">
        <v>910</v>
      </c>
      <c r="B129" t="s">
        <v>125</v>
      </c>
      <c r="C129" s="9" t="s">
        <v>385</v>
      </c>
    </row>
    <row r="130" spans="1:3">
      <c r="A130">
        <v>912</v>
      </c>
      <c r="B130" t="s">
        <v>285</v>
      </c>
      <c r="C130" s="9" t="s">
        <v>385</v>
      </c>
    </row>
    <row r="131" spans="1:3">
      <c r="A131">
        <v>914</v>
      </c>
      <c r="B131" t="s">
        <v>195</v>
      </c>
      <c r="C131" s="9" t="s">
        <v>385</v>
      </c>
    </row>
    <row r="132" spans="1:3">
      <c r="A132">
        <v>915</v>
      </c>
      <c r="B132" t="s">
        <v>370</v>
      </c>
      <c r="C132" s="9" t="s">
        <v>385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"/>
  <sheetViews>
    <sheetView workbookViewId="0"/>
  </sheetViews>
  <sheetFormatPr defaultRowHeight="14.25"/>
  <cols>
    <col min="1" max="1" width="50.625" bestFit="1" customWidth="1"/>
    <col min="2" max="2" width="17.125" bestFit="1" customWidth="1"/>
    <col min="3" max="3" width="19.25" bestFit="1" customWidth="1"/>
    <col min="4" max="4" width="11" bestFit="1" customWidth="1"/>
    <col min="5" max="5" width="19.375" bestFit="1" customWidth="1"/>
    <col min="6" max="8" width="12.5" bestFit="1" customWidth="1"/>
  </cols>
  <sheetData>
    <row r="1" spans="1:7">
      <c r="A1" s="3" t="s">
        <v>371</v>
      </c>
      <c r="B1" s="3" t="s">
        <v>366</v>
      </c>
    </row>
    <row r="2" spans="1:7">
      <c r="A2" s="3" t="s">
        <v>357</v>
      </c>
      <c r="B2" t="s">
        <v>306</v>
      </c>
      <c r="C2" t="s">
        <v>105</v>
      </c>
      <c r="D2" t="s">
        <v>257</v>
      </c>
      <c r="E2" t="s">
        <v>286</v>
      </c>
      <c r="F2" t="s">
        <v>218</v>
      </c>
      <c r="G2" t="s">
        <v>358</v>
      </c>
    </row>
    <row r="3" spans="1:7">
      <c r="A3" s="4" t="s">
        <v>383</v>
      </c>
      <c r="B3" s="8"/>
      <c r="C3" s="8"/>
      <c r="D3" s="8"/>
      <c r="E3" s="8"/>
      <c r="F3" s="8"/>
      <c r="G3" s="8"/>
    </row>
    <row r="4" spans="1:7">
      <c r="A4" s="5" t="s">
        <v>182</v>
      </c>
      <c r="B4" s="8">
        <v>4462452</v>
      </c>
      <c r="C4" s="8"/>
      <c r="D4" s="8">
        <v>25000</v>
      </c>
      <c r="E4" s="8">
        <v>71900</v>
      </c>
      <c r="F4" s="8">
        <v>143000</v>
      </c>
      <c r="G4" s="8">
        <v>4702352</v>
      </c>
    </row>
    <row r="5" spans="1:7">
      <c r="A5" s="4" t="s">
        <v>380</v>
      </c>
      <c r="B5" s="8"/>
      <c r="C5" s="8"/>
      <c r="D5" s="8"/>
      <c r="E5" s="8"/>
      <c r="F5" s="8"/>
      <c r="G5" s="8"/>
    </row>
    <row r="6" spans="1:7">
      <c r="A6" s="5" t="s">
        <v>336</v>
      </c>
      <c r="B6" s="8">
        <v>-169487</v>
      </c>
      <c r="C6" s="8"/>
      <c r="D6" s="8"/>
      <c r="E6" s="8"/>
      <c r="F6" s="8"/>
      <c r="G6" s="8">
        <v>-169487</v>
      </c>
    </row>
    <row r="7" spans="1:7">
      <c r="A7" s="5" t="s">
        <v>340</v>
      </c>
      <c r="B7" s="8">
        <v>-4267965</v>
      </c>
      <c r="C7" s="8"/>
      <c r="D7" s="8"/>
      <c r="E7" s="8"/>
      <c r="F7" s="8"/>
      <c r="G7" s="8">
        <v>-4267965</v>
      </c>
    </row>
    <row r="8" spans="1:7">
      <c r="A8" s="4" t="s">
        <v>381</v>
      </c>
      <c r="B8" s="8"/>
      <c r="C8" s="8"/>
      <c r="D8" s="8"/>
      <c r="E8" s="8"/>
      <c r="F8" s="8"/>
      <c r="G8" s="8"/>
    </row>
    <row r="9" spans="1:7">
      <c r="A9" s="5" t="s">
        <v>272</v>
      </c>
      <c r="B9" s="8"/>
      <c r="C9" s="8"/>
      <c r="D9" s="8">
        <v>580000</v>
      </c>
      <c r="E9" s="8"/>
      <c r="F9" s="8"/>
      <c r="G9" s="8">
        <v>580000</v>
      </c>
    </row>
    <row r="10" spans="1:7">
      <c r="A10" s="5" t="s">
        <v>273</v>
      </c>
      <c r="B10" s="8"/>
      <c r="C10" s="8"/>
      <c r="D10" s="8">
        <v>25000</v>
      </c>
      <c r="E10" s="8"/>
      <c r="F10" s="8"/>
      <c r="G10" s="8">
        <v>25000</v>
      </c>
    </row>
    <row r="11" spans="1:7">
      <c r="A11" s="5" t="s">
        <v>139</v>
      </c>
      <c r="B11" s="8"/>
      <c r="C11" s="8"/>
      <c r="D11" s="8">
        <v>25000</v>
      </c>
      <c r="E11" s="8"/>
      <c r="F11" s="8"/>
      <c r="G11" s="8">
        <v>25000</v>
      </c>
    </row>
    <row r="12" spans="1:7">
      <c r="A12" s="5" t="s">
        <v>140</v>
      </c>
      <c r="B12" s="8"/>
      <c r="C12" s="8"/>
      <c r="D12" s="8">
        <v>148500</v>
      </c>
      <c r="E12" s="8"/>
      <c r="F12" s="8"/>
      <c r="G12" s="8">
        <v>148500</v>
      </c>
    </row>
    <row r="13" spans="1:7">
      <c r="A13" s="5" t="s">
        <v>327</v>
      </c>
      <c r="B13" s="8">
        <v>2500</v>
      </c>
      <c r="C13" s="8"/>
      <c r="D13" s="8"/>
      <c r="E13" s="8"/>
      <c r="F13" s="8"/>
      <c r="G13" s="8">
        <v>2500</v>
      </c>
    </row>
    <row r="14" spans="1:7">
      <c r="A14" s="4" t="s">
        <v>240</v>
      </c>
      <c r="B14" s="8"/>
      <c r="C14" s="8"/>
      <c r="D14" s="8"/>
      <c r="E14" s="8"/>
      <c r="F14" s="8"/>
      <c r="G14" s="8"/>
    </row>
    <row r="15" spans="1:7">
      <c r="A15" s="5" t="s">
        <v>320</v>
      </c>
      <c r="B15" s="8"/>
      <c r="C15" s="8"/>
      <c r="D15" s="8">
        <v>-90000</v>
      </c>
      <c r="E15" s="8"/>
      <c r="F15" s="8"/>
      <c r="G15" s="8">
        <v>-90000</v>
      </c>
    </row>
    <row r="16" spans="1:7">
      <c r="A16" s="5" t="s">
        <v>321</v>
      </c>
      <c r="B16" s="8"/>
      <c r="C16" s="8"/>
      <c r="D16" s="8">
        <v>-4000</v>
      </c>
      <c r="E16" s="8"/>
      <c r="F16" s="8"/>
      <c r="G16" s="8">
        <v>-4000</v>
      </c>
    </row>
    <row r="17" spans="1:7">
      <c r="A17" s="5" t="s">
        <v>243</v>
      </c>
      <c r="B17" s="8"/>
      <c r="C17" s="8"/>
      <c r="D17" s="8"/>
      <c r="E17" s="8"/>
      <c r="F17" s="8">
        <v>-1500</v>
      </c>
      <c r="G17" s="8">
        <v>-1500</v>
      </c>
    </row>
    <row r="18" spans="1:7">
      <c r="A18" s="5" t="s">
        <v>322</v>
      </c>
      <c r="B18" s="8"/>
      <c r="C18" s="8"/>
      <c r="D18" s="8">
        <v>-15000</v>
      </c>
      <c r="E18" s="8"/>
      <c r="F18" s="8"/>
      <c r="G18" s="8">
        <v>-15000</v>
      </c>
    </row>
    <row r="19" spans="1:7">
      <c r="A19" s="5" t="s">
        <v>154</v>
      </c>
      <c r="B19" s="8"/>
      <c r="C19" s="8">
        <v>-1500</v>
      </c>
      <c r="D19" s="8"/>
      <c r="E19" s="8"/>
      <c r="F19" s="8"/>
      <c r="G19" s="8">
        <v>-1500</v>
      </c>
    </row>
    <row r="20" spans="1:7">
      <c r="A20" s="5" t="s">
        <v>278</v>
      </c>
      <c r="B20" s="8"/>
      <c r="C20" s="8"/>
      <c r="D20" s="8"/>
      <c r="E20" s="8">
        <v>-55000</v>
      </c>
      <c r="F20" s="8"/>
      <c r="G20" s="8">
        <v>-55000</v>
      </c>
    </row>
    <row r="21" spans="1:7">
      <c r="A21" s="5" t="s">
        <v>242</v>
      </c>
      <c r="B21" s="8"/>
      <c r="C21" s="8"/>
      <c r="D21" s="8"/>
      <c r="E21" s="8">
        <v>27500</v>
      </c>
      <c r="F21" s="8"/>
      <c r="G21" s="8">
        <v>27500</v>
      </c>
    </row>
    <row r="22" spans="1:7">
      <c r="A22" s="5" t="s">
        <v>268</v>
      </c>
      <c r="B22" s="8"/>
      <c r="C22" s="8"/>
      <c r="D22" s="8">
        <v>-35000</v>
      </c>
      <c r="E22" s="8"/>
      <c r="F22" s="8"/>
      <c r="G22" s="8">
        <v>-35000</v>
      </c>
    </row>
    <row r="23" spans="1:7">
      <c r="A23" s="5" t="s">
        <v>165</v>
      </c>
      <c r="B23" s="8"/>
      <c r="C23" s="8">
        <v>-2500</v>
      </c>
      <c r="D23" s="8"/>
      <c r="E23" s="8"/>
      <c r="F23" s="8"/>
      <c r="G23" s="8">
        <v>-2500</v>
      </c>
    </row>
    <row r="24" spans="1:7">
      <c r="A24" s="5" t="s">
        <v>132</v>
      </c>
      <c r="B24" s="8"/>
      <c r="C24" s="8"/>
      <c r="D24" s="8">
        <v>-45000</v>
      </c>
      <c r="E24" s="8"/>
      <c r="F24" s="8"/>
      <c r="G24" s="8">
        <v>-45000</v>
      </c>
    </row>
    <row r="25" spans="1:7">
      <c r="A25" s="5" t="s">
        <v>133</v>
      </c>
      <c r="B25" s="8"/>
      <c r="C25" s="8"/>
      <c r="D25" s="8">
        <v>-8538.75</v>
      </c>
      <c r="E25" s="8"/>
      <c r="F25" s="8"/>
      <c r="G25" s="8">
        <v>-8538.75</v>
      </c>
    </row>
    <row r="26" spans="1:7">
      <c r="A26" s="5" t="s">
        <v>241</v>
      </c>
      <c r="B26" s="8"/>
      <c r="C26" s="8"/>
      <c r="D26" s="8"/>
      <c r="E26" s="8"/>
      <c r="F26" s="8">
        <v>-5000</v>
      </c>
      <c r="G26" s="8">
        <v>-5000</v>
      </c>
    </row>
    <row r="27" spans="1:7">
      <c r="A27" s="5" t="s">
        <v>261</v>
      </c>
      <c r="B27" s="8"/>
      <c r="C27" s="8"/>
      <c r="D27" s="8">
        <v>-5500</v>
      </c>
      <c r="E27" s="8"/>
      <c r="F27" s="8"/>
      <c r="G27" s="8">
        <v>-5500</v>
      </c>
    </row>
    <row r="28" spans="1:7">
      <c r="A28" s="4" t="s">
        <v>230</v>
      </c>
      <c r="B28" s="8"/>
      <c r="C28" s="8"/>
      <c r="D28" s="8"/>
      <c r="E28" s="8"/>
      <c r="F28" s="8"/>
      <c r="G28" s="8"/>
    </row>
    <row r="29" spans="1:7">
      <c r="A29" s="5" t="s">
        <v>231</v>
      </c>
      <c r="B29" s="8"/>
      <c r="C29" s="8"/>
      <c r="D29" s="8"/>
      <c r="E29" s="8"/>
      <c r="F29" s="8">
        <v>13500</v>
      </c>
      <c r="G29" s="8">
        <v>13500</v>
      </c>
    </row>
    <row r="30" spans="1:7">
      <c r="A30" s="5" t="s">
        <v>129</v>
      </c>
      <c r="B30" s="8"/>
      <c r="C30" s="8"/>
      <c r="D30" s="8"/>
      <c r="E30" s="8">
        <v>2500</v>
      </c>
      <c r="F30" s="8">
        <v>6000</v>
      </c>
      <c r="G30" s="8">
        <v>8500</v>
      </c>
    </row>
    <row r="31" spans="1:7">
      <c r="A31" s="4" t="s">
        <v>379</v>
      </c>
      <c r="B31" s="8"/>
      <c r="C31" s="8"/>
      <c r="D31" s="8"/>
      <c r="E31" s="8"/>
      <c r="F31" s="8"/>
      <c r="G31" s="8"/>
    </row>
    <row r="32" spans="1:7">
      <c r="A32" s="5" t="s">
        <v>173</v>
      </c>
      <c r="B32" s="8"/>
      <c r="C32" s="8">
        <v>-15000</v>
      </c>
      <c r="D32" s="8"/>
      <c r="E32" s="8"/>
      <c r="F32" s="8"/>
      <c r="G32" s="8">
        <v>-15000</v>
      </c>
    </row>
    <row r="33" spans="1:7">
      <c r="A33" s="5" t="s">
        <v>151</v>
      </c>
      <c r="B33" s="8"/>
      <c r="C33" s="8">
        <v>-1055428.94</v>
      </c>
      <c r="D33" s="8"/>
      <c r="E33" s="8"/>
      <c r="F33" s="8"/>
      <c r="G33" s="8">
        <v>-1055428.94</v>
      </c>
    </row>
    <row r="34" spans="1:7">
      <c r="A34" s="5" t="s">
        <v>116</v>
      </c>
      <c r="B34" s="8"/>
      <c r="C34" s="8">
        <v>-155607</v>
      </c>
      <c r="D34" s="8"/>
      <c r="E34" s="8"/>
      <c r="F34" s="8"/>
      <c r="G34" s="8">
        <v>-155607</v>
      </c>
    </row>
    <row r="35" spans="1:7">
      <c r="A35" s="5" t="s">
        <v>108</v>
      </c>
      <c r="B35" s="8"/>
      <c r="C35" s="8">
        <v>-166661</v>
      </c>
      <c r="D35" s="8"/>
      <c r="E35" s="8">
        <v>-901060</v>
      </c>
      <c r="F35" s="8">
        <v>-3433140</v>
      </c>
      <c r="G35" s="8">
        <v>-4500861</v>
      </c>
    </row>
    <row r="36" spans="1:7">
      <c r="A36" s="5" t="s">
        <v>115</v>
      </c>
      <c r="B36" s="8"/>
      <c r="C36" s="8"/>
      <c r="D36" s="8"/>
      <c r="E36" s="8">
        <v>-5000</v>
      </c>
      <c r="F36" s="8">
        <v>-30000</v>
      </c>
      <c r="G36" s="8">
        <v>-35000</v>
      </c>
    </row>
    <row r="37" spans="1:7">
      <c r="A37" s="4" t="s">
        <v>245</v>
      </c>
      <c r="B37" s="8"/>
      <c r="C37" s="8"/>
      <c r="D37" s="8"/>
      <c r="E37" s="8"/>
      <c r="F37" s="8"/>
      <c r="G37" s="8"/>
    </row>
    <row r="38" spans="1:7">
      <c r="A38" s="5" t="s">
        <v>245</v>
      </c>
      <c r="B38" s="8"/>
      <c r="C38" s="8"/>
      <c r="D38" s="8"/>
      <c r="E38" s="8"/>
      <c r="F38" s="8">
        <v>-230000</v>
      </c>
      <c r="G38" s="8">
        <v>-230000</v>
      </c>
    </row>
    <row r="39" spans="1:7">
      <c r="A39" s="4" t="s">
        <v>385</v>
      </c>
      <c r="B39" s="8"/>
      <c r="C39" s="8"/>
      <c r="D39" s="8"/>
      <c r="E39" s="8"/>
      <c r="F39" s="8"/>
      <c r="G39" s="8"/>
    </row>
    <row r="40" spans="1:7">
      <c r="A40" s="5" t="s">
        <v>285</v>
      </c>
      <c r="B40" s="8">
        <v>17500</v>
      </c>
      <c r="C40" s="8"/>
      <c r="D40" s="8"/>
      <c r="E40" s="8">
        <v>-17500</v>
      </c>
      <c r="F40" s="8"/>
      <c r="G40" s="8">
        <v>0</v>
      </c>
    </row>
    <row r="41" spans="1:7">
      <c r="A41" s="5" t="s">
        <v>125</v>
      </c>
      <c r="B41" s="8"/>
      <c r="C41" s="8">
        <v>95246.75</v>
      </c>
      <c r="D41" s="8">
        <v>-140211.20480000001</v>
      </c>
      <c r="E41" s="8">
        <v>32376.5</v>
      </c>
      <c r="F41" s="8">
        <v>12587.954799999949</v>
      </c>
      <c r="G41" s="8">
        <v>-5.8207660913467407E-11</v>
      </c>
    </row>
    <row r="42" spans="1:7">
      <c r="A42" s="5" t="s">
        <v>195</v>
      </c>
      <c r="B42" s="8"/>
      <c r="C42" s="8">
        <v>50000</v>
      </c>
      <c r="D42" s="8"/>
      <c r="E42" s="8"/>
      <c r="F42" s="8">
        <v>-50000</v>
      </c>
      <c r="G42" s="8">
        <v>0</v>
      </c>
    </row>
    <row r="43" spans="1:7">
      <c r="A43" s="5" t="s">
        <v>146</v>
      </c>
      <c r="B43" s="8">
        <v>160</v>
      </c>
      <c r="C43" s="8"/>
      <c r="D43" s="8">
        <v>-160</v>
      </c>
      <c r="E43" s="8"/>
      <c r="F43" s="8"/>
      <c r="G43" s="8">
        <v>0</v>
      </c>
    </row>
    <row r="44" spans="1:7">
      <c r="A44" s="5" t="s">
        <v>161</v>
      </c>
      <c r="B44" s="8">
        <v>55000</v>
      </c>
      <c r="C44" s="8">
        <v>16000</v>
      </c>
      <c r="D44" s="8">
        <v>-103000</v>
      </c>
      <c r="E44" s="8">
        <v>22000</v>
      </c>
      <c r="F44" s="8">
        <v>10000</v>
      </c>
      <c r="G44" s="8">
        <v>0</v>
      </c>
    </row>
    <row r="45" spans="1:7">
      <c r="A45" s="5" t="s">
        <v>200</v>
      </c>
      <c r="B45" s="8">
        <v>1000</v>
      </c>
      <c r="C45" s="8"/>
      <c r="D45" s="8">
        <v>-1000</v>
      </c>
      <c r="E45" s="8"/>
      <c r="F45" s="8"/>
      <c r="G45" s="8">
        <v>0</v>
      </c>
    </row>
    <row r="46" spans="1:7">
      <c r="A46" s="5" t="s">
        <v>147</v>
      </c>
      <c r="B46" s="8"/>
      <c r="C46" s="8"/>
      <c r="D46" s="8">
        <v>-19200</v>
      </c>
      <c r="E46" s="8"/>
      <c r="F46" s="8">
        <v>19200</v>
      </c>
      <c r="G46" s="8">
        <v>0</v>
      </c>
    </row>
    <row r="47" spans="1:7">
      <c r="A47" s="5" t="s">
        <v>279</v>
      </c>
      <c r="B47" s="8">
        <v>-10000</v>
      </c>
      <c r="C47" s="8">
        <v>10000</v>
      </c>
      <c r="D47" s="8"/>
      <c r="E47" s="8"/>
      <c r="F47" s="8"/>
      <c r="G47" s="8">
        <v>0</v>
      </c>
    </row>
    <row r="48" spans="1:7">
      <c r="A48" s="5" t="s">
        <v>148</v>
      </c>
      <c r="B48" s="8">
        <v>-45500</v>
      </c>
      <c r="C48" s="8"/>
      <c r="D48" s="8">
        <v>43000</v>
      </c>
      <c r="E48" s="8">
        <v>2500</v>
      </c>
      <c r="F48" s="8"/>
      <c r="G48" s="8">
        <v>0</v>
      </c>
    </row>
    <row r="49" spans="1:7">
      <c r="A49" s="5" t="s">
        <v>334</v>
      </c>
      <c r="B49" s="8">
        <v>0</v>
      </c>
      <c r="C49" s="8"/>
      <c r="D49" s="8"/>
      <c r="E49" s="8"/>
      <c r="F49" s="8"/>
      <c r="G49" s="8">
        <v>0</v>
      </c>
    </row>
    <row r="50" spans="1:7">
      <c r="A50" s="5" t="s">
        <v>162</v>
      </c>
      <c r="B50" s="8">
        <v>-5850</v>
      </c>
      <c r="C50" s="8">
        <v>350</v>
      </c>
      <c r="D50" s="8">
        <v>5500</v>
      </c>
      <c r="E50" s="8"/>
      <c r="F50" s="8"/>
      <c r="G50" s="8">
        <v>0</v>
      </c>
    </row>
    <row r="51" spans="1:7">
      <c r="A51" s="4" t="s">
        <v>372</v>
      </c>
      <c r="B51" s="8"/>
      <c r="C51" s="8"/>
      <c r="D51" s="8"/>
      <c r="E51" s="8"/>
      <c r="F51" s="8"/>
      <c r="G51" s="8"/>
    </row>
    <row r="52" spans="1:7">
      <c r="A52" s="5" t="s">
        <v>352</v>
      </c>
      <c r="B52" s="8">
        <v>-235200</v>
      </c>
      <c r="C52" s="8"/>
      <c r="D52" s="8"/>
      <c r="E52" s="8"/>
      <c r="F52" s="8"/>
      <c r="G52" s="8">
        <v>-235200</v>
      </c>
    </row>
    <row r="53" spans="1:7">
      <c r="A53" s="4" t="s">
        <v>382</v>
      </c>
      <c r="B53" s="8"/>
      <c r="C53" s="8"/>
      <c r="D53" s="8"/>
      <c r="E53" s="8"/>
      <c r="F53" s="8"/>
      <c r="G53" s="8"/>
    </row>
    <row r="54" spans="1:7">
      <c r="A54" s="5" t="s">
        <v>227</v>
      </c>
      <c r="B54" s="8"/>
      <c r="C54" s="8"/>
      <c r="D54" s="8"/>
      <c r="E54" s="8"/>
      <c r="F54" s="8">
        <v>20000</v>
      </c>
      <c r="G54" s="8">
        <v>20000</v>
      </c>
    </row>
    <row r="55" spans="1:7">
      <c r="A55" s="5" t="s">
        <v>226</v>
      </c>
      <c r="B55" s="8"/>
      <c r="C55" s="8"/>
      <c r="D55" s="8"/>
      <c r="E55" s="8"/>
      <c r="F55" s="8">
        <v>90000</v>
      </c>
      <c r="G55" s="8">
        <v>90000</v>
      </c>
    </row>
    <row r="56" spans="1:7">
      <c r="A56" s="5" t="s">
        <v>120</v>
      </c>
      <c r="B56" s="8"/>
      <c r="C56" s="8">
        <v>6500</v>
      </c>
      <c r="D56" s="8">
        <v>2800</v>
      </c>
      <c r="E56" s="8">
        <v>800</v>
      </c>
      <c r="F56" s="8">
        <v>9000</v>
      </c>
      <c r="G56" s="8">
        <v>19100</v>
      </c>
    </row>
    <row r="57" spans="1:7">
      <c r="A57" s="5" t="s">
        <v>167</v>
      </c>
      <c r="B57" s="8">
        <v>500</v>
      </c>
      <c r="C57" s="8">
        <v>4000</v>
      </c>
      <c r="D57" s="8">
        <v>5500</v>
      </c>
      <c r="E57" s="8">
        <v>1000</v>
      </c>
      <c r="F57" s="8">
        <v>2000</v>
      </c>
      <c r="G57" s="8">
        <v>13000</v>
      </c>
    </row>
    <row r="58" spans="1:7">
      <c r="A58" s="5" t="s">
        <v>189</v>
      </c>
      <c r="B58" s="8"/>
      <c r="C58" s="8">
        <v>4000</v>
      </c>
      <c r="D58" s="8"/>
      <c r="E58" s="8"/>
      <c r="F58" s="8">
        <v>37500</v>
      </c>
      <c r="G58" s="8">
        <v>41500</v>
      </c>
    </row>
    <row r="59" spans="1:7">
      <c r="A59" s="5" t="s">
        <v>190</v>
      </c>
      <c r="B59" s="8"/>
      <c r="C59" s="8">
        <v>5000</v>
      </c>
      <c r="D59" s="8"/>
      <c r="E59" s="8"/>
      <c r="F59" s="8">
        <v>85000</v>
      </c>
      <c r="G59" s="8">
        <v>90000</v>
      </c>
    </row>
    <row r="60" spans="1:7">
      <c r="A60" s="5" t="s">
        <v>228</v>
      </c>
      <c r="B60" s="8"/>
      <c r="C60" s="8"/>
      <c r="D60" s="8"/>
      <c r="E60" s="8"/>
      <c r="F60" s="8">
        <v>6500</v>
      </c>
      <c r="G60" s="8">
        <v>6500</v>
      </c>
    </row>
    <row r="61" spans="1:7">
      <c r="A61" s="5" t="s">
        <v>191</v>
      </c>
      <c r="B61" s="8"/>
      <c r="C61" s="8"/>
      <c r="D61" s="8">
        <v>1500</v>
      </c>
      <c r="E61" s="8"/>
      <c r="F61" s="8">
        <v>95000</v>
      </c>
      <c r="G61" s="8">
        <v>96500</v>
      </c>
    </row>
    <row r="62" spans="1:7">
      <c r="A62" s="5" t="s">
        <v>183</v>
      </c>
      <c r="B62" s="8"/>
      <c r="C62" s="8">
        <v>6000</v>
      </c>
      <c r="D62" s="8"/>
      <c r="E62" s="8">
        <v>30000</v>
      </c>
      <c r="F62" s="8">
        <v>20000</v>
      </c>
      <c r="G62" s="8">
        <v>56000</v>
      </c>
    </row>
    <row r="63" spans="1:7">
      <c r="A63" s="5" t="s">
        <v>168</v>
      </c>
      <c r="B63" s="8">
        <v>86400</v>
      </c>
      <c r="C63" s="8"/>
      <c r="D63" s="8"/>
      <c r="E63" s="8">
        <v>44500</v>
      </c>
      <c r="F63" s="8"/>
      <c r="G63" s="8">
        <v>130900</v>
      </c>
    </row>
    <row r="64" spans="1:7">
      <c r="A64" s="5" t="s">
        <v>222</v>
      </c>
      <c r="B64" s="8"/>
      <c r="C64" s="8"/>
      <c r="D64" s="8"/>
      <c r="E64" s="8"/>
      <c r="F64" s="8">
        <v>5000</v>
      </c>
      <c r="G64" s="8">
        <v>5000</v>
      </c>
    </row>
    <row r="65" spans="1:7">
      <c r="A65" s="5" t="s">
        <v>217</v>
      </c>
      <c r="B65" s="8"/>
      <c r="C65" s="8"/>
      <c r="D65" s="8"/>
      <c r="E65" s="8">
        <v>14222</v>
      </c>
      <c r="F65" s="8"/>
      <c r="G65" s="8">
        <v>14222</v>
      </c>
    </row>
    <row r="66" spans="1:7">
      <c r="A66" s="5" t="s">
        <v>169</v>
      </c>
      <c r="B66" s="8">
        <v>45500</v>
      </c>
      <c r="C66" s="8">
        <v>25500</v>
      </c>
      <c r="D66" s="8">
        <v>43000</v>
      </c>
      <c r="E66" s="8">
        <v>8500</v>
      </c>
      <c r="F66" s="8">
        <v>28000</v>
      </c>
      <c r="G66" s="8">
        <v>150500</v>
      </c>
    </row>
    <row r="67" spans="1:7">
      <c r="A67" s="5" t="s">
        <v>110</v>
      </c>
      <c r="B67" s="8">
        <v>96700</v>
      </c>
      <c r="C67" s="8">
        <v>15500</v>
      </c>
      <c r="D67" s="8">
        <v>29500</v>
      </c>
      <c r="E67" s="8">
        <v>6400</v>
      </c>
      <c r="F67" s="8">
        <v>2500</v>
      </c>
      <c r="G67" s="8">
        <v>150600</v>
      </c>
    </row>
    <row r="68" spans="1:7">
      <c r="A68" s="5" t="s">
        <v>274</v>
      </c>
      <c r="B68" s="8">
        <v>4900</v>
      </c>
      <c r="C68" s="8"/>
      <c r="D68" s="8">
        <v>1400</v>
      </c>
      <c r="E68" s="8">
        <v>1000</v>
      </c>
      <c r="F68" s="8"/>
      <c r="G68" s="8">
        <v>7300</v>
      </c>
    </row>
    <row r="69" spans="1:7">
      <c r="A69" s="5" t="s">
        <v>328</v>
      </c>
      <c r="B69" s="8">
        <v>4150</v>
      </c>
      <c r="C69" s="8"/>
      <c r="D69" s="8"/>
      <c r="E69" s="8"/>
      <c r="F69" s="8"/>
      <c r="G69" s="8">
        <v>4150</v>
      </c>
    </row>
    <row r="70" spans="1:7">
      <c r="A70" s="5" t="s">
        <v>187</v>
      </c>
      <c r="B70" s="8"/>
      <c r="C70" s="8">
        <v>52239</v>
      </c>
      <c r="D70" s="8"/>
      <c r="E70" s="8"/>
      <c r="F70" s="8"/>
      <c r="G70" s="8">
        <v>52239</v>
      </c>
    </row>
    <row r="71" spans="1:7">
      <c r="A71" s="5" t="s">
        <v>193</v>
      </c>
      <c r="B71" s="8">
        <v>40000</v>
      </c>
      <c r="C71" s="8"/>
      <c r="D71" s="8"/>
      <c r="E71" s="8"/>
      <c r="F71" s="8"/>
      <c r="G71" s="8">
        <v>40000</v>
      </c>
    </row>
    <row r="72" spans="1:7">
      <c r="A72" s="5" t="s">
        <v>194</v>
      </c>
      <c r="B72" s="8">
        <v>100000</v>
      </c>
      <c r="C72" s="8"/>
      <c r="D72" s="8"/>
      <c r="E72" s="8"/>
      <c r="F72" s="8">
        <v>189112</v>
      </c>
      <c r="G72" s="8">
        <v>289112</v>
      </c>
    </row>
    <row r="73" spans="1:7">
      <c r="A73" s="5" t="s">
        <v>223</v>
      </c>
      <c r="B73" s="8"/>
      <c r="C73" s="8"/>
      <c r="D73" s="8">
        <v>10000</v>
      </c>
      <c r="E73" s="8">
        <v>3000</v>
      </c>
      <c r="F73" s="8">
        <v>10000</v>
      </c>
      <c r="G73" s="8">
        <v>23000</v>
      </c>
    </row>
    <row r="74" spans="1:7">
      <c r="A74" s="5" t="s">
        <v>112</v>
      </c>
      <c r="B74" s="8">
        <v>387000</v>
      </c>
      <c r="C74" s="8">
        <v>55191</v>
      </c>
      <c r="D74" s="8">
        <v>32000</v>
      </c>
      <c r="E74" s="8">
        <v>81769</v>
      </c>
      <c r="F74" s="8">
        <v>33000</v>
      </c>
      <c r="G74" s="8">
        <v>588960</v>
      </c>
    </row>
    <row r="75" spans="1:7">
      <c r="A75" s="5" t="s">
        <v>160</v>
      </c>
      <c r="B75" s="8">
        <v>29200</v>
      </c>
      <c r="C75" s="8">
        <v>2195</v>
      </c>
      <c r="D75" s="8">
        <v>-45350</v>
      </c>
      <c r="E75" s="8"/>
      <c r="F75" s="8"/>
      <c r="G75" s="8">
        <v>-13955</v>
      </c>
    </row>
    <row r="76" spans="1:7">
      <c r="A76" s="5" t="s">
        <v>111</v>
      </c>
      <c r="B76" s="8">
        <v>29500</v>
      </c>
      <c r="C76" s="8">
        <v>19000</v>
      </c>
      <c r="D76" s="8">
        <v>32000</v>
      </c>
      <c r="E76" s="8">
        <v>12500</v>
      </c>
      <c r="F76" s="8"/>
      <c r="G76" s="8">
        <v>93000</v>
      </c>
    </row>
    <row r="77" spans="1:7">
      <c r="A77" s="5" t="s">
        <v>188</v>
      </c>
      <c r="B77" s="8"/>
      <c r="C77" s="8"/>
      <c r="D77" s="8"/>
      <c r="E77" s="8"/>
      <c r="F77" s="8">
        <v>250</v>
      </c>
      <c r="G77" s="8">
        <v>250</v>
      </c>
    </row>
    <row r="78" spans="1:7">
      <c r="A78" s="5" t="s">
        <v>121</v>
      </c>
      <c r="B78" s="8">
        <v>7650</v>
      </c>
      <c r="C78" s="8">
        <v>9000</v>
      </c>
      <c r="D78" s="8">
        <v>3800</v>
      </c>
      <c r="E78" s="8">
        <v>3500</v>
      </c>
      <c r="F78" s="8">
        <v>11500</v>
      </c>
      <c r="G78" s="8">
        <v>35450</v>
      </c>
    </row>
    <row r="79" spans="1:7">
      <c r="A79" s="5" t="s">
        <v>224</v>
      </c>
      <c r="B79" s="8"/>
      <c r="C79" s="8"/>
      <c r="D79" s="8"/>
      <c r="E79" s="8"/>
      <c r="F79" s="8">
        <v>26500</v>
      </c>
      <c r="G79" s="8">
        <v>26500</v>
      </c>
    </row>
    <row r="80" spans="1:7">
      <c r="A80" s="5" t="s">
        <v>142</v>
      </c>
      <c r="B80" s="8">
        <v>13350</v>
      </c>
      <c r="C80" s="8">
        <v>1000</v>
      </c>
      <c r="D80" s="8">
        <v>9600</v>
      </c>
      <c r="E80" s="8">
        <v>3000</v>
      </c>
      <c r="F80" s="8">
        <v>2000</v>
      </c>
      <c r="G80" s="8">
        <v>28950</v>
      </c>
    </row>
    <row r="81" spans="1:7">
      <c r="A81" s="5" t="s">
        <v>141</v>
      </c>
      <c r="B81" s="8"/>
      <c r="C81" s="8"/>
      <c r="D81" s="8">
        <v>100</v>
      </c>
      <c r="E81" s="8">
        <v>2500</v>
      </c>
      <c r="F81" s="8">
        <v>17000</v>
      </c>
      <c r="G81" s="8">
        <v>19600</v>
      </c>
    </row>
    <row r="82" spans="1:7">
      <c r="A82" s="5" t="s">
        <v>174</v>
      </c>
      <c r="B82" s="8">
        <v>150</v>
      </c>
      <c r="C82" s="8">
        <v>840</v>
      </c>
      <c r="D82" s="8">
        <v>1000</v>
      </c>
      <c r="E82" s="8">
        <v>2500</v>
      </c>
      <c r="F82" s="8">
        <v>45000</v>
      </c>
      <c r="G82" s="8">
        <v>49490</v>
      </c>
    </row>
    <row r="83" spans="1:7">
      <c r="A83" s="5" t="s">
        <v>123</v>
      </c>
      <c r="B83" s="8">
        <v>8600</v>
      </c>
      <c r="C83" s="8">
        <v>6300</v>
      </c>
      <c r="D83" s="8">
        <v>5900</v>
      </c>
      <c r="E83" s="8"/>
      <c r="F83" s="8">
        <v>20000</v>
      </c>
      <c r="G83" s="8">
        <v>40800</v>
      </c>
    </row>
    <row r="84" spans="1:7">
      <c r="A84" s="5" t="s">
        <v>156</v>
      </c>
      <c r="B84" s="8">
        <v>17500</v>
      </c>
      <c r="C84" s="8">
        <v>3000</v>
      </c>
      <c r="D84" s="8">
        <v>3000</v>
      </c>
      <c r="E84" s="8">
        <v>6500</v>
      </c>
      <c r="F84" s="8"/>
      <c r="G84" s="8">
        <v>30000</v>
      </c>
    </row>
    <row r="85" spans="1:7">
      <c r="A85" s="5" t="s">
        <v>124</v>
      </c>
      <c r="B85" s="8"/>
      <c r="C85" s="8">
        <v>6500</v>
      </c>
      <c r="D85" s="8"/>
      <c r="E85" s="8">
        <v>4500</v>
      </c>
      <c r="F85" s="8">
        <v>20000</v>
      </c>
      <c r="G85" s="8">
        <v>31000</v>
      </c>
    </row>
    <row r="86" spans="1:7">
      <c r="A86" s="5" t="s">
        <v>310</v>
      </c>
      <c r="B86" s="8">
        <v>15000</v>
      </c>
      <c r="C86" s="8"/>
      <c r="D86" s="8"/>
      <c r="E86" s="8"/>
      <c r="F86" s="8"/>
      <c r="G86" s="8">
        <v>15000</v>
      </c>
    </row>
    <row r="87" spans="1:7">
      <c r="A87" s="4" t="s">
        <v>157</v>
      </c>
      <c r="B87" s="8"/>
      <c r="C87" s="8"/>
      <c r="D87" s="8"/>
      <c r="E87" s="8"/>
      <c r="F87" s="8"/>
      <c r="G87" s="8"/>
    </row>
    <row r="88" spans="1:7">
      <c r="A88" s="5" t="s">
        <v>299</v>
      </c>
      <c r="B88" s="8"/>
      <c r="C88" s="8"/>
      <c r="D88" s="8"/>
      <c r="E88" s="8">
        <v>2500</v>
      </c>
      <c r="F88" s="8"/>
      <c r="G88" s="8">
        <v>2500</v>
      </c>
    </row>
    <row r="89" spans="1:7">
      <c r="A89" s="5" t="s">
        <v>301</v>
      </c>
      <c r="B89" s="8"/>
      <c r="C89" s="8"/>
      <c r="D89" s="8"/>
      <c r="E89" s="8">
        <v>1500</v>
      </c>
      <c r="F89" s="8"/>
      <c r="G89" s="8">
        <v>1500</v>
      </c>
    </row>
    <row r="90" spans="1:7">
      <c r="A90" s="5" t="s">
        <v>181</v>
      </c>
      <c r="B90" s="8"/>
      <c r="C90" s="8"/>
      <c r="D90" s="8"/>
      <c r="E90" s="8">
        <v>2400</v>
      </c>
      <c r="F90" s="8">
        <v>3000</v>
      </c>
      <c r="G90" s="8">
        <v>5400</v>
      </c>
    </row>
    <row r="91" spans="1:7">
      <c r="A91" s="5" t="s">
        <v>199</v>
      </c>
      <c r="B91" s="8"/>
      <c r="C91" s="8"/>
      <c r="D91" s="8"/>
      <c r="E91" s="8">
        <v>450</v>
      </c>
      <c r="F91" s="8"/>
      <c r="G91" s="8">
        <v>450</v>
      </c>
    </row>
    <row r="92" spans="1:7">
      <c r="A92" s="5" t="s">
        <v>159</v>
      </c>
      <c r="B92" s="8">
        <v>500</v>
      </c>
      <c r="C92" s="8">
        <v>250</v>
      </c>
      <c r="D92" s="8"/>
      <c r="E92" s="8">
        <v>3500</v>
      </c>
      <c r="F92" s="8"/>
      <c r="G92" s="8">
        <v>4250</v>
      </c>
    </row>
    <row r="93" spans="1:7">
      <c r="A93" s="5" t="s">
        <v>158</v>
      </c>
      <c r="B93" s="8">
        <v>20200</v>
      </c>
      <c r="C93" s="8">
        <v>800</v>
      </c>
      <c r="D93" s="8">
        <v>2600</v>
      </c>
      <c r="E93" s="8">
        <v>2700</v>
      </c>
      <c r="F93" s="8">
        <v>900</v>
      </c>
      <c r="G93" s="8">
        <v>27200</v>
      </c>
    </row>
    <row r="94" spans="1:7">
      <c r="A94" s="5" t="s">
        <v>420</v>
      </c>
      <c r="B94" s="8"/>
      <c r="C94" s="8"/>
      <c r="D94" s="8"/>
      <c r="E94" s="8">
        <v>8500</v>
      </c>
      <c r="F94" s="8"/>
      <c r="G94" s="8">
        <v>8500</v>
      </c>
    </row>
    <row r="95" spans="1:7">
      <c r="A95" s="4" t="s">
        <v>377</v>
      </c>
      <c r="B95" s="8"/>
      <c r="C95" s="8"/>
      <c r="D95" s="8"/>
      <c r="E95" s="8"/>
      <c r="F95" s="8"/>
      <c r="G95" s="8"/>
    </row>
    <row r="96" spans="1:7">
      <c r="A96" s="5" t="s">
        <v>246</v>
      </c>
      <c r="B96" s="8"/>
      <c r="C96" s="8"/>
      <c r="D96" s="8"/>
      <c r="E96" s="8"/>
      <c r="F96" s="8"/>
      <c r="G96" s="8"/>
    </row>
    <row r="97" spans="1:7">
      <c r="A97" s="5" t="s">
        <v>270</v>
      </c>
      <c r="B97" s="8"/>
      <c r="C97" s="8"/>
      <c r="D97" s="8">
        <v>-3000</v>
      </c>
      <c r="E97" s="8"/>
      <c r="F97" s="8"/>
      <c r="G97" s="8">
        <v>-3000</v>
      </c>
    </row>
    <row r="98" spans="1:7">
      <c r="A98" s="5" t="s">
        <v>244</v>
      </c>
      <c r="B98" s="8"/>
      <c r="C98" s="8"/>
      <c r="D98" s="8"/>
      <c r="E98" s="8"/>
      <c r="F98" s="8">
        <v>-12000</v>
      </c>
      <c r="G98" s="8">
        <v>-12000</v>
      </c>
    </row>
    <row r="99" spans="1:7">
      <c r="A99" s="5" t="s">
        <v>289</v>
      </c>
      <c r="B99" s="8"/>
      <c r="C99" s="8"/>
      <c r="D99" s="8"/>
      <c r="E99" s="8">
        <v>-25000</v>
      </c>
      <c r="F99" s="8"/>
      <c r="G99" s="8">
        <v>-25000</v>
      </c>
    </row>
    <row r="100" spans="1:7">
      <c r="A100" s="5" t="s">
        <v>249</v>
      </c>
      <c r="B100" s="8"/>
      <c r="C100" s="8"/>
      <c r="D100" s="8"/>
      <c r="E100" s="8"/>
      <c r="F100" s="8">
        <v>-2000</v>
      </c>
      <c r="G100" s="8">
        <v>-2000</v>
      </c>
    </row>
    <row r="101" spans="1:7">
      <c r="A101" s="5" t="s">
        <v>248</v>
      </c>
      <c r="B101" s="8"/>
      <c r="C101" s="8"/>
      <c r="D101" s="8"/>
      <c r="E101" s="8"/>
      <c r="F101" s="8">
        <v>-1000</v>
      </c>
      <c r="G101" s="8">
        <v>-1000</v>
      </c>
    </row>
    <row r="102" spans="1:7">
      <c r="A102" s="5" t="s">
        <v>247</v>
      </c>
      <c r="B102" s="8"/>
      <c r="C102" s="8"/>
      <c r="D102" s="8"/>
      <c r="E102" s="8"/>
      <c r="F102" s="8">
        <v>-5000</v>
      </c>
      <c r="G102" s="8">
        <v>-5000</v>
      </c>
    </row>
    <row r="103" spans="1:7">
      <c r="A103" s="5" t="s">
        <v>481</v>
      </c>
      <c r="B103" s="8"/>
      <c r="C103" s="8"/>
      <c r="D103" s="8"/>
      <c r="E103" s="8">
        <v>-100000</v>
      </c>
      <c r="F103" s="8"/>
      <c r="G103" s="8">
        <v>-100000</v>
      </c>
    </row>
    <row r="104" spans="1:7">
      <c r="A104" s="4" t="s">
        <v>384</v>
      </c>
      <c r="B104" s="8"/>
      <c r="C104" s="8"/>
      <c r="D104" s="8"/>
      <c r="E104" s="8"/>
      <c r="F104" s="8"/>
      <c r="G104" s="8"/>
    </row>
    <row r="105" spans="1:7">
      <c r="A105" s="5" t="s">
        <v>263</v>
      </c>
      <c r="B105" s="8">
        <v>1782828</v>
      </c>
      <c r="C105" s="8"/>
      <c r="D105" s="8"/>
      <c r="E105" s="8"/>
      <c r="F105" s="8"/>
      <c r="G105" s="8">
        <v>1782828</v>
      </c>
    </row>
    <row r="106" spans="1:7">
      <c r="A106" s="5" t="s">
        <v>127</v>
      </c>
      <c r="B106" s="8">
        <v>48000</v>
      </c>
      <c r="C106" s="8">
        <v>4000</v>
      </c>
      <c r="D106" s="8">
        <v>54500</v>
      </c>
      <c r="E106" s="8">
        <v>2500</v>
      </c>
      <c r="F106" s="8">
        <v>1500</v>
      </c>
      <c r="G106" s="8">
        <v>110500</v>
      </c>
    </row>
    <row r="107" spans="1:7">
      <c r="A107" s="5" t="s">
        <v>144</v>
      </c>
      <c r="B107" s="8">
        <v>68000</v>
      </c>
      <c r="C107" s="8">
        <v>5000</v>
      </c>
      <c r="D107" s="8">
        <v>13500</v>
      </c>
      <c r="E107" s="8">
        <v>500</v>
      </c>
      <c r="F107" s="8"/>
      <c r="G107" s="8">
        <v>87000</v>
      </c>
    </row>
    <row r="108" spans="1:7">
      <c r="A108" s="4" t="s">
        <v>376</v>
      </c>
      <c r="B108" s="8"/>
      <c r="C108" s="8"/>
      <c r="D108" s="8"/>
      <c r="E108" s="8"/>
      <c r="F108" s="8"/>
      <c r="G108" s="8"/>
    </row>
    <row r="109" spans="1:7">
      <c r="A109" s="5" t="s">
        <v>260</v>
      </c>
      <c r="B109" s="8"/>
      <c r="C109" s="8"/>
      <c r="D109" s="8">
        <v>-300000</v>
      </c>
      <c r="E109" s="8"/>
      <c r="F109" s="8"/>
      <c r="G109" s="8">
        <v>-300000</v>
      </c>
    </row>
    <row r="110" spans="1:7">
      <c r="A110" s="5" t="s">
        <v>282</v>
      </c>
      <c r="B110" s="8"/>
      <c r="C110" s="8"/>
      <c r="D110" s="8">
        <v>-200000</v>
      </c>
      <c r="E110" s="8"/>
      <c r="F110" s="8"/>
      <c r="G110" s="8">
        <v>-200000</v>
      </c>
    </row>
    <row r="111" spans="1:7">
      <c r="A111" s="5" t="s">
        <v>314</v>
      </c>
      <c r="B111" s="8">
        <v>-340000</v>
      </c>
      <c r="C111" s="8"/>
      <c r="D111" s="8"/>
      <c r="E111" s="8"/>
      <c r="F111" s="8"/>
      <c r="G111" s="8">
        <v>-340000</v>
      </c>
    </row>
    <row r="112" spans="1:7">
      <c r="A112" s="5" t="s">
        <v>283</v>
      </c>
      <c r="B112" s="8">
        <v>-160000</v>
      </c>
      <c r="C112" s="8"/>
      <c r="D112" s="8"/>
      <c r="E112" s="8"/>
      <c r="F112" s="8"/>
      <c r="G112" s="8">
        <v>-160000</v>
      </c>
    </row>
    <row r="113" spans="1:7">
      <c r="A113" s="4" t="s">
        <v>117</v>
      </c>
      <c r="B113" s="8"/>
      <c r="C113" s="8"/>
      <c r="D113" s="8"/>
      <c r="E113" s="8"/>
      <c r="F113" s="8"/>
      <c r="G113" s="8"/>
    </row>
    <row r="114" spans="1:7">
      <c r="A114" s="5" t="s">
        <v>235</v>
      </c>
      <c r="B114" s="8"/>
      <c r="C114" s="8"/>
      <c r="D114" s="8"/>
      <c r="E114" s="8"/>
      <c r="F114" s="8">
        <v>306578</v>
      </c>
      <c r="G114" s="8">
        <v>306578</v>
      </c>
    </row>
    <row r="115" spans="1:7">
      <c r="A115" s="5" t="s">
        <v>186</v>
      </c>
      <c r="B115" s="8">
        <v>6000</v>
      </c>
      <c r="C115" s="8">
        <v>5000</v>
      </c>
      <c r="D115" s="8">
        <v>7500</v>
      </c>
      <c r="E115" s="8">
        <v>4000</v>
      </c>
      <c r="F115" s="8">
        <v>7000</v>
      </c>
      <c r="G115" s="8">
        <v>29500</v>
      </c>
    </row>
    <row r="116" spans="1:7">
      <c r="A116" s="5" t="s">
        <v>117</v>
      </c>
      <c r="B116" s="8">
        <v>974676</v>
      </c>
      <c r="C116" s="8">
        <v>919927</v>
      </c>
      <c r="D116" s="8">
        <v>507816</v>
      </c>
      <c r="E116" s="8">
        <v>495174</v>
      </c>
      <c r="F116" s="8">
        <v>682385</v>
      </c>
      <c r="G116" s="8">
        <v>3579978</v>
      </c>
    </row>
    <row r="117" spans="1:7">
      <c r="A117" s="5" t="s">
        <v>204</v>
      </c>
      <c r="B117" s="8"/>
      <c r="C117" s="8">
        <v>1500</v>
      </c>
      <c r="D117" s="8"/>
      <c r="E117" s="8"/>
      <c r="F117" s="8">
        <v>5000</v>
      </c>
      <c r="G117" s="8">
        <v>6500</v>
      </c>
    </row>
    <row r="118" spans="1:7">
      <c r="A118" s="5" t="s">
        <v>137</v>
      </c>
      <c r="B118" s="8">
        <v>2000</v>
      </c>
      <c r="C118" s="8"/>
      <c r="D118" s="8"/>
      <c r="E118" s="8"/>
      <c r="F118" s="8">
        <v>3500</v>
      </c>
      <c r="G118" s="8">
        <v>5500</v>
      </c>
    </row>
    <row r="119" spans="1:7">
      <c r="A119" s="5" t="s">
        <v>118</v>
      </c>
      <c r="B119" s="8">
        <v>116961.12</v>
      </c>
      <c r="C119" s="8">
        <v>109967.065</v>
      </c>
      <c r="D119" s="8">
        <v>60937.919999999998</v>
      </c>
      <c r="E119" s="8">
        <v>59420.880000000005</v>
      </c>
      <c r="F119" s="8">
        <v>111011.10999999999</v>
      </c>
      <c r="G119" s="8">
        <v>458298.09499999997</v>
      </c>
    </row>
    <row r="120" spans="1:7">
      <c r="A120" s="5" t="s">
        <v>180</v>
      </c>
      <c r="B120" s="8">
        <v>7000</v>
      </c>
      <c r="C120" s="8">
        <v>28458</v>
      </c>
      <c r="D120" s="8">
        <v>3000</v>
      </c>
      <c r="E120" s="8">
        <v>23500</v>
      </c>
      <c r="F120" s="8">
        <v>35000</v>
      </c>
      <c r="G120" s="8">
        <v>96958</v>
      </c>
    </row>
    <row r="121" spans="1:7">
      <c r="A121" s="5" t="s">
        <v>136</v>
      </c>
      <c r="B121" s="8">
        <v>7500</v>
      </c>
      <c r="C121" s="8">
        <v>3000</v>
      </c>
      <c r="D121" s="8">
        <v>6000</v>
      </c>
      <c r="E121" s="8">
        <v>15500</v>
      </c>
      <c r="F121" s="8">
        <v>15000</v>
      </c>
      <c r="G121" s="8">
        <v>47000</v>
      </c>
    </row>
    <row r="122" spans="1:7">
      <c r="A122" s="5" t="s">
        <v>119</v>
      </c>
      <c r="B122" s="8">
        <v>16374.5568</v>
      </c>
      <c r="C122" s="8">
        <v>15418.410974999999</v>
      </c>
      <c r="D122" s="8">
        <v>8531.3087999999989</v>
      </c>
      <c r="E122" s="8">
        <v>8318.9231999999993</v>
      </c>
      <c r="F122" s="8">
        <v>15284.90445</v>
      </c>
      <c r="G122" s="8">
        <v>63928.104224999995</v>
      </c>
    </row>
    <row r="123" spans="1:7">
      <c r="A123" s="5" t="s">
        <v>138</v>
      </c>
      <c r="B123" s="8">
        <v>7100</v>
      </c>
      <c r="C123" s="8">
        <v>800</v>
      </c>
      <c r="D123" s="8">
        <v>2750</v>
      </c>
      <c r="E123" s="8">
        <v>6000</v>
      </c>
      <c r="F123" s="8"/>
      <c r="G123" s="8">
        <v>16650</v>
      </c>
    </row>
    <row r="124" spans="1:7">
      <c r="A124" s="5" t="s">
        <v>402</v>
      </c>
      <c r="B124" s="8"/>
      <c r="C124" s="8"/>
      <c r="D124" s="8"/>
      <c r="E124" s="8"/>
      <c r="F124" s="8">
        <v>2500</v>
      </c>
      <c r="G124" s="8">
        <v>2500</v>
      </c>
    </row>
    <row r="125" spans="1:7">
      <c r="A125" s="4" t="s">
        <v>378</v>
      </c>
      <c r="B125" s="8"/>
      <c r="C125" s="8"/>
      <c r="D125" s="8"/>
      <c r="E125" s="8"/>
      <c r="F125" s="8"/>
      <c r="G125" s="8"/>
    </row>
    <row r="126" spans="1:7">
      <c r="A126" s="5" t="s">
        <v>254</v>
      </c>
      <c r="B126" s="8"/>
      <c r="C126" s="8"/>
      <c r="D126" s="8">
        <v>-40000</v>
      </c>
      <c r="E126" s="8"/>
      <c r="F126" s="8"/>
      <c r="G126" s="8">
        <v>-40000</v>
      </c>
    </row>
    <row r="127" spans="1:7">
      <c r="A127" s="5" t="s">
        <v>208</v>
      </c>
      <c r="B127" s="8"/>
      <c r="C127" s="8">
        <v>-120000</v>
      </c>
      <c r="D127" s="8"/>
      <c r="E127" s="8"/>
      <c r="F127" s="8"/>
      <c r="G127" s="8">
        <v>-120000</v>
      </c>
    </row>
    <row r="128" spans="1:7">
      <c r="A128" s="5" t="s">
        <v>309</v>
      </c>
      <c r="B128" s="8">
        <v>-2971380</v>
      </c>
      <c r="C128" s="8"/>
      <c r="D128" s="8"/>
      <c r="E128" s="8"/>
      <c r="F128" s="8"/>
      <c r="G128" s="8">
        <v>-2971380</v>
      </c>
    </row>
    <row r="129" spans="1:7">
      <c r="A129" s="5" t="s">
        <v>329</v>
      </c>
      <c r="B129" s="8">
        <v>-450000</v>
      </c>
      <c r="C129" s="8"/>
      <c r="D129" s="8"/>
      <c r="E129" s="8"/>
      <c r="F129" s="8"/>
      <c r="G129" s="8">
        <v>-450000</v>
      </c>
    </row>
    <row r="130" spans="1:7">
      <c r="A130" s="5" t="s">
        <v>269</v>
      </c>
      <c r="B130" s="8"/>
      <c r="C130" s="8"/>
      <c r="D130" s="8">
        <v>-330000</v>
      </c>
      <c r="E130" s="8"/>
      <c r="F130" s="8"/>
      <c r="G130" s="8">
        <v>-330000</v>
      </c>
    </row>
    <row r="131" spans="1:7">
      <c r="A131" s="5" t="s">
        <v>253</v>
      </c>
      <c r="B131" s="8">
        <v>-120000</v>
      </c>
      <c r="C131" s="8"/>
      <c r="D131" s="8">
        <v>-10000</v>
      </c>
      <c r="E131" s="8"/>
      <c r="F131" s="8"/>
      <c r="G131" s="8">
        <v>-130000</v>
      </c>
    </row>
    <row r="132" spans="1:7">
      <c r="A132" s="5" t="s">
        <v>344</v>
      </c>
      <c r="B132" s="8">
        <v>-35000</v>
      </c>
      <c r="C132" s="8"/>
      <c r="D132" s="8"/>
      <c r="E132" s="8"/>
      <c r="F132" s="8"/>
      <c r="G132" s="8">
        <v>-35000</v>
      </c>
    </row>
    <row r="133" spans="1:7">
      <c r="A133" s="5" t="s">
        <v>135</v>
      </c>
      <c r="B133" s="8"/>
      <c r="C133" s="8"/>
      <c r="D133" s="8">
        <v>-30000</v>
      </c>
      <c r="E133" s="8"/>
      <c r="F133" s="8"/>
      <c r="G133" s="8">
        <v>-30000</v>
      </c>
    </row>
    <row r="134" spans="1:7">
      <c r="A134" s="5" t="s">
        <v>134</v>
      </c>
      <c r="B134" s="8"/>
      <c r="C134" s="8"/>
      <c r="D134" s="8">
        <v>-139961</v>
      </c>
      <c r="E134" s="8"/>
      <c r="F134" s="8"/>
      <c r="G134" s="8">
        <v>-139961</v>
      </c>
    </row>
    <row r="135" spans="1:7">
      <c r="A135" s="5" t="s">
        <v>326</v>
      </c>
      <c r="B135" s="8">
        <v>-25000</v>
      </c>
      <c r="C135" s="8"/>
      <c r="D135" s="8"/>
      <c r="E135" s="8"/>
      <c r="F135" s="8"/>
      <c r="G135" s="8">
        <v>-25000</v>
      </c>
    </row>
    <row r="136" spans="1:7">
      <c r="A136" s="5" t="s">
        <v>400</v>
      </c>
      <c r="B136" s="8"/>
      <c r="C136" s="8">
        <v>-8000</v>
      </c>
      <c r="D136" s="8"/>
      <c r="E136" s="8"/>
      <c r="F136" s="8"/>
      <c r="G136" s="8">
        <v>-8000</v>
      </c>
    </row>
    <row r="137" spans="1:7">
      <c r="A137" s="4" t="s">
        <v>358</v>
      </c>
      <c r="B137" s="8">
        <v>-353530.32319999998</v>
      </c>
      <c r="C137" s="8">
        <v>-37214.714024999936</v>
      </c>
      <c r="D137" s="8">
        <v>135314.27400000009</v>
      </c>
      <c r="E137" s="8">
        <v>-82128.696799999991</v>
      </c>
      <c r="F137" s="8">
        <v>-1601831.0307500002</v>
      </c>
      <c r="G137" s="8">
        <v>-1939390.4907749998</v>
      </c>
    </row>
  </sheetData>
  <pageMargins left="0.11811023622047245" right="0.11811023622047245" top="0.55118110236220474" bottom="0.15748031496062992" header="0.31496062992125984" footer="0.31496062992125984"/>
  <pageSetup paperSize="9" scale="86" fitToHeight="3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1"/>
  <sheetViews>
    <sheetView workbookViewId="0">
      <pane ySplit="2" topLeftCell="A3" activePane="bottomLeft" state="frozen"/>
      <selection pane="bottomLeft" sqref="A1:G1"/>
    </sheetView>
  </sheetViews>
  <sheetFormatPr defaultRowHeight="14.25"/>
  <cols>
    <col min="1" max="1" width="40.125" bestFit="1" customWidth="1"/>
    <col min="2" max="2" width="25.625" style="47" bestFit="1" customWidth="1"/>
    <col min="3" max="3" width="18.25" style="47" bestFit="1" customWidth="1"/>
    <col min="4" max="4" width="12.625" style="47" bestFit="1" customWidth="1"/>
    <col min="5" max="5" width="19.375" style="47" bestFit="1" customWidth="1"/>
    <col min="6" max="7" width="12.625" style="47" bestFit="1" customWidth="1"/>
    <col min="8" max="15" width="0" hidden="1" customWidth="1"/>
  </cols>
  <sheetData>
    <row r="1" spans="1:7" ht="25.5" customHeight="1">
      <c r="A1" s="67" t="s">
        <v>587</v>
      </c>
      <c r="B1" s="67"/>
      <c r="C1" s="67"/>
      <c r="D1" s="67"/>
      <c r="E1" s="67"/>
      <c r="F1" s="67"/>
      <c r="G1" s="67"/>
    </row>
    <row r="2" spans="1:7" ht="15">
      <c r="A2" s="10"/>
      <c r="B2" s="51" t="s">
        <v>306</v>
      </c>
      <c r="C2" s="51" t="s">
        <v>105</v>
      </c>
      <c r="D2" s="51" t="s">
        <v>257</v>
      </c>
      <c r="E2" s="51" t="s">
        <v>286</v>
      </c>
      <c r="F2" s="51" t="s">
        <v>218</v>
      </c>
      <c r="G2" s="51" t="s">
        <v>358</v>
      </c>
    </row>
    <row r="3" spans="1:7" ht="15">
      <c r="A3" s="10" t="s">
        <v>540</v>
      </c>
    </row>
    <row r="4" spans="1:7" ht="15">
      <c r="A4" s="10" t="s">
        <v>372</v>
      </c>
    </row>
    <row r="5" spans="1:7">
      <c r="A5" s="5" t="s">
        <v>352</v>
      </c>
      <c r="B5" s="47">
        <v>-235200</v>
      </c>
      <c r="G5" s="47">
        <f>SUM(B5:F5)</f>
        <v>-235200</v>
      </c>
    </row>
    <row r="6" spans="1:7" ht="15">
      <c r="A6" s="45" t="s">
        <v>532</v>
      </c>
      <c r="B6" s="48">
        <f>B5</f>
        <v>-235200</v>
      </c>
      <c r="C6" s="48"/>
      <c r="D6" s="48"/>
      <c r="E6" s="48"/>
      <c r="F6" s="48"/>
      <c r="G6" s="48">
        <f t="shared" ref="G6:G60" si="0">SUM(B6:F6)</f>
        <v>-235200</v>
      </c>
    </row>
    <row r="7" spans="1:7" ht="15">
      <c r="A7" s="10" t="s">
        <v>240</v>
      </c>
    </row>
    <row r="8" spans="1:7">
      <c r="A8" s="5" t="s">
        <v>320</v>
      </c>
      <c r="B8" s="8"/>
      <c r="C8" s="8"/>
      <c r="D8" s="8">
        <v>-90000</v>
      </c>
      <c r="E8" s="8"/>
      <c r="F8" s="8"/>
      <c r="G8" s="47">
        <f t="shared" si="0"/>
        <v>-90000</v>
      </c>
    </row>
    <row r="9" spans="1:7">
      <c r="A9" s="5" t="s">
        <v>321</v>
      </c>
      <c r="B9" s="8"/>
      <c r="C9" s="8"/>
      <c r="D9" s="8">
        <v>-4000</v>
      </c>
      <c r="E9" s="8"/>
      <c r="F9" s="8"/>
      <c r="G9" s="47">
        <f t="shared" si="0"/>
        <v>-4000</v>
      </c>
    </row>
    <row r="10" spans="1:7">
      <c r="A10" s="5" t="s">
        <v>243</v>
      </c>
      <c r="B10" s="8"/>
      <c r="C10" s="8"/>
      <c r="D10" s="8"/>
      <c r="E10" s="8"/>
      <c r="F10" s="8">
        <v>-1500</v>
      </c>
      <c r="G10" s="47">
        <f t="shared" si="0"/>
        <v>-1500</v>
      </c>
    </row>
    <row r="11" spans="1:7">
      <c r="A11" s="5" t="s">
        <v>322</v>
      </c>
      <c r="B11" s="8"/>
      <c r="C11" s="8"/>
      <c r="D11" s="8">
        <v>-15000</v>
      </c>
      <c r="E11" s="8"/>
      <c r="F11" s="8"/>
      <c r="G11" s="47">
        <f t="shared" si="0"/>
        <v>-15000</v>
      </c>
    </row>
    <row r="12" spans="1:7">
      <c r="A12" s="5" t="s">
        <v>154</v>
      </c>
      <c r="B12" s="8"/>
      <c r="C12" s="8">
        <v>-1500</v>
      </c>
      <c r="D12" s="8"/>
      <c r="E12" s="8"/>
      <c r="F12" s="8"/>
      <c r="G12" s="47">
        <f t="shared" si="0"/>
        <v>-1500</v>
      </c>
    </row>
    <row r="13" spans="1:7">
      <c r="A13" s="5" t="s">
        <v>278</v>
      </c>
      <c r="B13" s="8"/>
      <c r="C13" s="8"/>
      <c r="D13" s="8"/>
      <c r="E13" s="8">
        <v>-55000</v>
      </c>
      <c r="F13" s="8"/>
      <c r="G13" s="47">
        <f t="shared" si="0"/>
        <v>-55000</v>
      </c>
    </row>
    <row r="14" spans="1:7">
      <c r="A14" s="5" t="s">
        <v>242</v>
      </c>
      <c r="B14" s="8"/>
      <c r="C14" s="8"/>
      <c r="D14" s="8"/>
      <c r="E14" s="8">
        <v>27500</v>
      </c>
      <c r="F14" s="8"/>
      <c r="G14" s="47">
        <f t="shared" si="0"/>
        <v>27500</v>
      </c>
    </row>
    <row r="15" spans="1:7">
      <c r="A15" s="5" t="s">
        <v>268</v>
      </c>
      <c r="B15" s="8"/>
      <c r="C15" s="8"/>
      <c r="D15" s="8">
        <v>-35000</v>
      </c>
      <c r="E15" s="8"/>
      <c r="F15" s="8"/>
      <c r="G15" s="47">
        <f t="shared" si="0"/>
        <v>-35000</v>
      </c>
    </row>
    <row r="16" spans="1:7">
      <c r="A16" s="5" t="s">
        <v>165</v>
      </c>
      <c r="B16" s="8"/>
      <c r="C16" s="8">
        <v>-2500</v>
      </c>
      <c r="D16" s="8"/>
      <c r="E16" s="8"/>
      <c r="F16" s="8"/>
      <c r="G16" s="47">
        <f t="shared" si="0"/>
        <v>-2500</v>
      </c>
    </row>
    <row r="17" spans="1:8">
      <c r="A17" s="5" t="s">
        <v>132</v>
      </c>
      <c r="B17" s="8"/>
      <c r="C17" s="8"/>
      <c r="D17" s="8">
        <v>-45000</v>
      </c>
      <c r="E17" s="8"/>
      <c r="F17" s="8"/>
      <c r="G17" s="47">
        <f t="shared" si="0"/>
        <v>-45000</v>
      </c>
    </row>
    <row r="18" spans="1:8">
      <c r="A18" s="5" t="s">
        <v>133</v>
      </c>
      <c r="B18" s="8"/>
      <c r="C18" s="8"/>
      <c r="D18" s="8">
        <v>-8538.75</v>
      </c>
      <c r="E18" s="8"/>
      <c r="F18" s="8"/>
      <c r="G18" s="47">
        <f t="shared" si="0"/>
        <v>-8538.75</v>
      </c>
    </row>
    <row r="19" spans="1:8">
      <c r="A19" s="5" t="s">
        <v>241</v>
      </c>
      <c r="B19" s="8"/>
      <c r="C19" s="8"/>
      <c r="D19" s="8"/>
      <c r="E19" s="8"/>
      <c r="F19" s="8">
        <v>-5000</v>
      </c>
      <c r="G19" s="47">
        <f t="shared" si="0"/>
        <v>-5000</v>
      </c>
    </row>
    <row r="20" spans="1:8">
      <c r="A20" s="5" t="s">
        <v>261</v>
      </c>
      <c r="B20" s="8"/>
      <c r="C20" s="8"/>
      <c r="D20" s="8">
        <v>-5500</v>
      </c>
      <c r="E20" s="8"/>
      <c r="F20" s="8"/>
      <c r="G20" s="47">
        <f t="shared" si="0"/>
        <v>-5500</v>
      </c>
    </row>
    <row r="21" spans="1:8" ht="15">
      <c r="A21" s="45" t="s">
        <v>533</v>
      </c>
      <c r="B21" s="48">
        <f>SUM(B8:B20)</f>
        <v>0</v>
      </c>
      <c r="C21" s="48">
        <f t="shared" ref="C21:F21" si="1">SUM(C8:C20)</f>
        <v>-4000</v>
      </c>
      <c r="D21" s="48">
        <f t="shared" si="1"/>
        <v>-203038.75</v>
      </c>
      <c r="E21" s="48">
        <f t="shared" si="1"/>
        <v>-27500</v>
      </c>
      <c r="F21" s="48">
        <f t="shared" si="1"/>
        <v>-6500</v>
      </c>
      <c r="G21" s="48">
        <f t="shared" si="0"/>
        <v>-241038.75</v>
      </c>
    </row>
    <row r="22" spans="1:8" ht="15">
      <c r="A22" s="10" t="s">
        <v>376</v>
      </c>
    </row>
    <row r="23" spans="1:8">
      <c r="A23" s="5" t="s">
        <v>260</v>
      </c>
      <c r="B23" s="56"/>
      <c r="C23" s="56"/>
      <c r="D23" s="56">
        <v>-300000</v>
      </c>
      <c r="E23" s="56"/>
      <c r="F23" s="56"/>
      <c r="G23" s="47">
        <f t="shared" si="0"/>
        <v>-300000</v>
      </c>
    </row>
    <row r="24" spans="1:8">
      <c r="A24" s="5" t="s">
        <v>282</v>
      </c>
      <c r="B24" s="56"/>
      <c r="C24" s="56"/>
      <c r="D24" s="56">
        <v>-200000</v>
      </c>
      <c r="E24" s="56"/>
      <c r="F24" s="56"/>
      <c r="G24" s="47">
        <f t="shared" si="0"/>
        <v>-200000</v>
      </c>
    </row>
    <row r="25" spans="1:8">
      <c r="A25" s="5" t="s">
        <v>314</v>
      </c>
      <c r="B25" s="56">
        <v>-340000</v>
      </c>
      <c r="C25" s="56"/>
      <c r="D25" s="56"/>
      <c r="E25" s="56"/>
      <c r="F25" s="56"/>
      <c r="G25" s="47">
        <f t="shared" si="0"/>
        <v>-340000</v>
      </c>
    </row>
    <row r="26" spans="1:8">
      <c r="A26" s="5" t="s">
        <v>283</v>
      </c>
      <c r="B26" s="56">
        <v>-160000</v>
      </c>
      <c r="C26" s="56"/>
      <c r="D26" s="56"/>
      <c r="E26" s="56"/>
      <c r="F26" s="56"/>
      <c r="G26" s="47">
        <f t="shared" si="0"/>
        <v>-160000</v>
      </c>
    </row>
    <row r="27" spans="1:8" ht="15">
      <c r="A27" s="45" t="s">
        <v>534</v>
      </c>
      <c r="B27" s="48">
        <f>SUM(B23:B26)</f>
        <v>-500000</v>
      </c>
      <c r="C27" s="48">
        <f t="shared" ref="C27:F27" si="2">SUM(C23:C26)</f>
        <v>0</v>
      </c>
      <c r="D27" s="48">
        <f t="shared" si="2"/>
        <v>-500000</v>
      </c>
      <c r="E27" s="48">
        <f t="shared" si="2"/>
        <v>0</v>
      </c>
      <c r="F27" s="48">
        <f t="shared" si="2"/>
        <v>0</v>
      </c>
      <c r="G27" s="48">
        <f t="shared" si="0"/>
        <v>-1000000</v>
      </c>
      <c r="H27" s="10"/>
    </row>
    <row r="28" spans="1:8" ht="15">
      <c r="A28" s="10" t="s">
        <v>245</v>
      </c>
    </row>
    <row r="29" spans="1:8">
      <c r="A29" t="s">
        <v>245</v>
      </c>
      <c r="F29" s="47">
        <v>-230000</v>
      </c>
      <c r="G29" s="47">
        <f t="shared" si="0"/>
        <v>-230000</v>
      </c>
    </row>
    <row r="30" spans="1:8" ht="15">
      <c r="A30" s="45" t="s">
        <v>535</v>
      </c>
      <c r="F30" s="48">
        <f>F29</f>
        <v>-230000</v>
      </c>
      <c r="G30" s="48">
        <f t="shared" si="0"/>
        <v>-230000</v>
      </c>
    </row>
    <row r="31" spans="1:8" ht="15">
      <c r="A31" s="10" t="s">
        <v>378</v>
      </c>
    </row>
    <row r="32" spans="1:8">
      <c r="A32" s="5" t="s">
        <v>254</v>
      </c>
      <c r="B32" s="56"/>
      <c r="C32" s="56"/>
      <c r="D32" s="56">
        <v>-40000</v>
      </c>
      <c r="E32" s="56"/>
      <c r="F32" s="56"/>
      <c r="G32" s="47">
        <f t="shared" si="0"/>
        <v>-40000</v>
      </c>
    </row>
    <row r="33" spans="1:7">
      <c r="A33" s="5" t="s">
        <v>208</v>
      </c>
      <c r="B33" s="56"/>
      <c r="C33" s="56">
        <v>-120000</v>
      </c>
      <c r="D33" s="56"/>
      <c r="E33" s="56"/>
      <c r="F33" s="56"/>
      <c r="G33" s="47">
        <f t="shared" si="0"/>
        <v>-120000</v>
      </c>
    </row>
    <row r="34" spans="1:7">
      <c r="A34" s="5" t="s">
        <v>309</v>
      </c>
      <c r="B34" s="56">
        <v>-2971380</v>
      </c>
      <c r="C34" s="56"/>
      <c r="D34" s="56"/>
      <c r="E34" s="56"/>
      <c r="F34" s="56"/>
      <c r="G34" s="47">
        <f t="shared" si="0"/>
        <v>-2971380</v>
      </c>
    </row>
    <row r="35" spans="1:7">
      <c r="A35" s="5" t="s">
        <v>329</v>
      </c>
      <c r="B35" s="56">
        <v>-450000</v>
      </c>
      <c r="C35" s="56"/>
      <c r="D35" s="56"/>
      <c r="E35" s="56"/>
      <c r="F35" s="56"/>
      <c r="G35" s="47">
        <f t="shared" si="0"/>
        <v>-450000</v>
      </c>
    </row>
    <row r="36" spans="1:7">
      <c r="A36" s="5" t="s">
        <v>269</v>
      </c>
      <c r="B36" s="56"/>
      <c r="C36" s="56"/>
      <c r="D36" s="56">
        <v>-330000</v>
      </c>
      <c r="E36" s="56"/>
      <c r="F36" s="56"/>
      <c r="G36" s="47">
        <f t="shared" si="0"/>
        <v>-330000</v>
      </c>
    </row>
    <row r="37" spans="1:7">
      <c r="A37" s="5" t="s">
        <v>253</v>
      </c>
      <c r="B37" s="56">
        <v>-120000</v>
      </c>
      <c r="C37" s="56"/>
      <c r="D37" s="56">
        <v>-10000</v>
      </c>
      <c r="E37" s="56"/>
      <c r="F37" s="56"/>
      <c r="G37" s="47">
        <f t="shared" si="0"/>
        <v>-130000</v>
      </c>
    </row>
    <row r="38" spans="1:7">
      <c r="A38" s="5" t="s">
        <v>344</v>
      </c>
      <c r="B38" s="56">
        <v>-35000</v>
      </c>
      <c r="C38" s="56"/>
      <c r="D38" s="56"/>
      <c r="E38" s="56"/>
      <c r="F38" s="56"/>
      <c r="G38" s="47">
        <f t="shared" si="0"/>
        <v>-35000</v>
      </c>
    </row>
    <row r="39" spans="1:7">
      <c r="A39" s="5" t="s">
        <v>135</v>
      </c>
      <c r="B39" s="56"/>
      <c r="C39" s="56"/>
      <c r="D39" s="56">
        <v>-30000</v>
      </c>
      <c r="E39" s="56"/>
      <c r="F39" s="56"/>
      <c r="G39" s="47">
        <f t="shared" si="0"/>
        <v>-30000</v>
      </c>
    </row>
    <row r="40" spans="1:7">
      <c r="A40" s="5" t="s">
        <v>134</v>
      </c>
      <c r="B40" s="56"/>
      <c r="C40" s="56"/>
      <c r="D40" s="56">
        <v>-139961</v>
      </c>
      <c r="E40" s="56"/>
      <c r="F40" s="56"/>
      <c r="G40" s="47">
        <f t="shared" si="0"/>
        <v>-139961</v>
      </c>
    </row>
    <row r="41" spans="1:7">
      <c r="A41" s="5" t="s">
        <v>326</v>
      </c>
      <c r="B41" s="56">
        <v>-25000</v>
      </c>
      <c r="C41" s="56"/>
      <c r="D41" s="56"/>
      <c r="E41" s="56"/>
      <c r="F41" s="56"/>
      <c r="G41" s="47">
        <f t="shared" si="0"/>
        <v>-25000</v>
      </c>
    </row>
    <row r="42" spans="1:7">
      <c r="A42" s="5" t="s">
        <v>400</v>
      </c>
      <c r="B42" s="56"/>
      <c r="C42" s="56">
        <v>-8000</v>
      </c>
      <c r="D42" s="56"/>
      <c r="E42" s="56"/>
      <c r="F42" s="56"/>
      <c r="G42" s="47">
        <f t="shared" si="0"/>
        <v>-8000</v>
      </c>
    </row>
    <row r="43" spans="1:7" ht="15">
      <c r="A43" s="45" t="s">
        <v>536</v>
      </c>
      <c r="B43" s="48">
        <f>SUM(B32:B42)</f>
        <v>-3601380</v>
      </c>
      <c r="C43" s="48">
        <f>SUM(C32:C42)</f>
        <v>-128000</v>
      </c>
      <c r="D43" s="48">
        <f>SUM(D32:D42)</f>
        <v>-549961</v>
      </c>
      <c r="E43" s="48">
        <f>SUM(E32:E42)</f>
        <v>0</v>
      </c>
      <c r="F43" s="48">
        <f>SUM(F32:F42)</f>
        <v>0</v>
      </c>
      <c r="G43" s="48">
        <f t="shared" si="0"/>
        <v>-4279341</v>
      </c>
    </row>
    <row r="44" spans="1:7" ht="15">
      <c r="A44" s="10" t="s">
        <v>377</v>
      </c>
    </row>
    <row r="45" spans="1:7">
      <c r="A45" s="5" t="s">
        <v>246</v>
      </c>
      <c r="G45" s="47">
        <f t="shared" si="0"/>
        <v>0</v>
      </c>
    </row>
    <row r="46" spans="1:7">
      <c r="A46" s="5" t="s">
        <v>270</v>
      </c>
      <c r="D46" s="47">
        <v>-3000</v>
      </c>
      <c r="G46" s="47">
        <f t="shared" si="0"/>
        <v>-3000</v>
      </c>
    </row>
    <row r="47" spans="1:7">
      <c r="A47" s="5" t="s">
        <v>244</v>
      </c>
      <c r="F47" s="47">
        <v>-12000</v>
      </c>
      <c r="G47" s="47">
        <f t="shared" si="0"/>
        <v>-12000</v>
      </c>
    </row>
    <row r="48" spans="1:7">
      <c r="A48" s="5" t="s">
        <v>289</v>
      </c>
      <c r="E48" s="47">
        <v>-25000</v>
      </c>
      <c r="G48" s="47">
        <f t="shared" si="0"/>
        <v>-25000</v>
      </c>
    </row>
    <row r="49" spans="1:7">
      <c r="A49" s="5" t="s">
        <v>249</v>
      </c>
      <c r="F49" s="47">
        <v>-2000</v>
      </c>
      <c r="G49" s="47">
        <f t="shared" si="0"/>
        <v>-2000</v>
      </c>
    </row>
    <row r="50" spans="1:7">
      <c r="A50" s="5" t="s">
        <v>248</v>
      </c>
      <c r="F50" s="47">
        <v>-1000</v>
      </c>
      <c r="G50" s="47">
        <f t="shared" si="0"/>
        <v>-1000</v>
      </c>
    </row>
    <row r="51" spans="1:7">
      <c r="A51" s="5" t="s">
        <v>247</v>
      </c>
      <c r="F51" s="47">
        <v>-5000</v>
      </c>
      <c r="G51" s="47">
        <f t="shared" si="0"/>
        <v>-5000</v>
      </c>
    </row>
    <row r="52" spans="1:7">
      <c r="A52" s="5" t="s">
        <v>481</v>
      </c>
      <c r="E52" s="47">
        <v>-100000</v>
      </c>
      <c r="G52" s="47">
        <f t="shared" si="0"/>
        <v>-100000</v>
      </c>
    </row>
    <row r="53" spans="1:7" ht="15">
      <c r="A53" s="45" t="s">
        <v>537</v>
      </c>
      <c r="B53" s="48">
        <f>SUM(B45:B52)</f>
        <v>0</v>
      </c>
      <c r="C53" s="48">
        <f t="shared" ref="C53:F53" si="3">SUM(C45:C52)</f>
        <v>0</v>
      </c>
      <c r="D53" s="48">
        <f t="shared" si="3"/>
        <v>-3000</v>
      </c>
      <c r="E53" s="48">
        <f t="shared" si="3"/>
        <v>-125000</v>
      </c>
      <c r="F53" s="48">
        <f t="shared" si="3"/>
        <v>-20000</v>
      </c>
      <c r="G53" s="48">
        <f t="shared" si="0"/>
        <v>-148000</v>
      </c>
    </row>
    <row r="54" spans="1:7" ht="15">
      <c r="A54" s="10" t="s">
        <v>379</v>
      </c>
    </row>
    <row r="55" spans="1:7">
      <c r="A55" s="5" t="s">
        <v>173</v>
      </c>
      <c r="B55" s="56"/>
      <c r="C55" s="56">
        <v>-15000</v>
      </c>
      <c r="D55" s="56"/>
      <c r="E55" s="56"/>
      <c r="F55" s="56"/>
      <c r="G55" s="47">
        <f>SUM(B55:F55)</f>
        <v>-15000</v>
      </c>
    </row>
    <row r="56" spans="1:7">
      <c r="A56" s="5" t="s">
        <v>151</v>
      </c>
      <c r="B56" s="56"/>
      <c r="C56" s="56">
        <v>-1055429</v>
      </c>
      <c r="D56" s="56"/>
      <c r="E56" s="56"/>
      <c r="F56" s="56"/>
      <c r="G56" s="47">
        <f t="shared" si="0"/>
        <v>-1055429</v>
      </c>
    </row>
    <row r="57" spans="1:7">
      <c r="A57" s="5" t="s">
        <v>116</v>
      </c>
      <c r="B57" s="56"/>
      <c r="C57" s="56">
        <v>-155607</v>
      </c>
      <c r="D57" s="56"/>
      <c r="E57" s="56"/>
      <c r="F57" s="56"/>
      <c r="G57" s="47">
        <f t="shared" si="0"/>
        <v>-155607</v>
      </c>
    </row>
    <row r="58" spans="1:7">
      <c r="A58" s="5" t="s">
        <v>108</v>
      </c>
      <c r="B58" s="56"/>
      <c r="C58" s="56">
        <v>-166661</v>
      </c>
      <c r="D58" s="56"/>
      <c r="E58" s="56">
        <v>-901060</v>
      </c>
      <c r="F58" s="56">
        <v>-3433140</v>
      </c>
      <c r="G58" s="47">
        <f t="shared" si="0"/>
        <v>-4500861</v>
      </c>
    </row>
    <row r="59" spans="1:7">
      <c r="A59" s="5" t="s">
        <v>115</v>
      </c>
      <c r="B59" s="56"/>
      <c r="C59" s="56"/>
      <c r="D59" s="56"/>
      <c r="E59" s="56">
        <v>-5000</v>
      </c>
      <c r="F59" s="56">
        <v>-30000</v>
      </c>
      <c r="G59" s="47">
        <f t="shared" si="0"/>
        <v>-35000</v>
      </c>
    </row>
    <row r="60" spans="1:7" ht="15">
      <c r="A60" s="45" t="s">
        <v>538</v>
      </c>
      <c r="B60" s="48">
        <f>SUM(B55:B59)</f>
        <v>0</v>
      </c>
      <c r="C60" s="48">
        <f t="shared" ref="C60:F60" si="4">SUM(C55:C59)</f>
        <v>-1392697</v>
      </c>
      <c r="D60" s="48">
        <f t="shared" si="4"/>
        <v>0</v>
      </c>
      <c r="E60" s="48">
        <f t="shared" si="4"/>
        <v>-906060</v>
      </c>
      <c r="F60" s="48">
        <f t="shared" si="4"/>
        <v>-3463140</v>
      </c>
      <c r="G60" s="48">
        <f t="shared" si="0"/>
        <v>-5761897</v>
      </c>
    </row>
    <row r="61" spans="1:7" ht="15">
      <c r="A61" s="46" t="s">
        <v>539</v>
      </c>
      <c r="B61" s="50">
        <f>SUM(B4:B60)/2</f>
        <v>-4336580</v>
      </c>
      <c r="C61" s="50">
        <f t="shared" ref="C61:G61" si="5">SUM(C4:C60)/2</f>
        <v>-1524697</v>
      </c>
      <c r="D61" s="50">
        <f t="shared" si="5"/>
        <v>-1255999.75</v>
      </c>
      <c r="E61" s="50">
        <f t="shared" si="5"/>
        <v>-1058560</v>
      </c>
      <c r="F61" s="50">
        <f t="shared" si="5"/>
        <v>-3719640</v>
      </c>
      <c r="G61" s="50">
        <f t="shared" si="5"/>
        <v>-11895476.75</v>
      </c>
    </row>
    <row r="63" spans="1:7" ht="15">
      <c r="A63" s="10" t="s">
        <v>541</v>
      </c>
    </row>
    <row r="64" spans="1:7" ht="15">
      <c r="A64" s="10" t="s">
        <v>117</v>
      </c>
    </row>
    <row r="65" spans="1:7">
      <c r="A65" s="5" t="s">
        <v>235</v>
      </c>
      <c r="B65" s="56"/>
      <c r="C65" s="56"/>
      <c r="D65" s="56"/>
      <c r="E65" s="56"/>
      <c r="F65" s="56">
        <v>306578</v>
      </c>
      <c r="G65" s="47">
        <f>SUM(B65:F65)</f>
        <v>306578</v>
      </c>
    </row>
    <row r="66" spans="1:7">
      <c r="A66" s="5" t="s">
        <v>186</v>
      </c>
      <c r="B66" s="56">
        <v>6000</v>
      </c>
      <c r="C66" s="56">
        <v>5000</v>
      </c>
      <c r="D66" s="56">
        <v>7500</v>
      </c>
      <c r="E66" s="56">
        <v>4000</v>
      </c>
      <c r="F66" s="56">
        <v>7000</v>
      </c>
      <c r="G66" s="47">
        <f t="shared" ref="G66:G75" si="6">SUM(B66:F66)</f>
        <v>29500</v>
      </c>
    </row>
    <row r="67" spans="1:7">
      <c r="A67" s="5" t="s">
        <v>117</v>
      </c>
      <c r="B67" s="56">
        <v>974676</v>
      </c>
      <c r="C67" s="56">
        <v>919927</v>
      </c>
      <c r="D67" s="56">
        <v>507816</v>
      </c>
      <c r="E67" s="56">
        <v>495174</v>
      </c>
      <c r="F67" s="56">
        <v>682385</v>
      </c>
      <c r="G67" s="47">
        <f t="shared" si="6"/>
        <v>3579978</v>
      </c>
    </row>
    <row r="68" spans="1:7">
      <c r="A68" s="5" t="s">
        <v>204</v>
      </c>
      <c r="B68" s="56"/>
      <c r="C68" s="56">
        <v>1500</v>
      </c>
      <c r="D68" s="56"/>
      <c r="E68" s="56"/>
      <c r="F68" s="56">
        <v>5000</v>
      </c>
      <c r="G68" s="47">
        <f t="shared" si="6"/>
        <v>6500</v>
      </c>
    </row>
    <row r="69" spans="1:7">
      <c r="A69" s="5" t="s">
        <v>137</v>
      </c>
      <c r="B69" s="56">
        <v>2000</v>
      </c>
      <c r="C69" s="56"/>
      <c r="D69" s="56"/>
      <c r="E69" s="56"/>
      <c r="F69" s="56">
        <v>3500</v>
      </c>
      <c r="G69" s="47">
        <f t="shared" si="6"/>
        <v>5500</v>
      </c>
    </row>
    <row r="70" spans="1:7">
      <c r="A70" s="5" t="s">
        <v>118</v>
      </c>
      <c r="B70" s="56">
        <v>116961.12</v>
      </c>
      <c r="C70" s="56">
        <v>109967.065</v>
      </c>
      <c r="D70" s="56">
        <v>60937.919999999998</v>
      </c>
      <c r="E70" s="56">
        <v>59420.880000000005</v>
      </c>
      <c r="F70" s="56">
        <v>111011.10999999999</v>
      </c>
      <c r="G70" s="47">
        <f t="shared" si="6"/>
        <v>458298.09499999997</v>
      </c>
    </row>
    <row r="71" spans="1:7">
      <c r="A71" s="5" t="s">
        <v>180</v>
      </c>
      <c r="B71" s="56">
        <v>7000</v>
      </c>
      <c r="C71" s="56">
        <v>28458</v>
      </c>
      <c r="D71" s="56">
        <v>3000</v>
      </c>
      <c r="E71" s="56">
        <v>23500</v>
      </c>
      <c r="F71" s="56">
        <v>35000</v>
      </c>
      <c r="G71" s="47">
        <f t="shared" si="6"/>
        <v>96958</v>
      </c>
    </row>
    <row r="72" spans="1:7">
      <c r="A72" s="5" t="s">
        <v>136</v>
      </c>
      <c r="B72" s="56">
        <v>7500</v>
      </c>
      <c r="C72" s="56">
        <v>3000</v>
      </c>
      <c r="D72" s="56">
        <v>6000</v>
      </c>
      <c r="E72" s="56">
        <v>15500</v>
      </c>
      <c r="F72" s="56">
        <v>15000</v>
      </c>
      <c r="G72" s="47">
        <f t="shared" si="6"/>
        <v>47000</v>
      </c>
    </row>
    <row r="73" spans="1:7">
      <c r="A73" s="5" t="s">
        <v>119</v>
      </c>
      <c r="B73" s="56">
        <v>16374.5568</v>
      </c>
      <c r="C73" s="56">
        <v>15418.410974999999</v>
      </c>
      <c r="D73" s="56">
        <v>8531.3087999999989</v>
      </c>
      <c r="E73" s="56">
        <v>8318.9231999999993</v>
      </c>
      <c r="F73" s="56">
        <v>15284.90445</v>
      </c>
      <c r="G73" s="47">
        <f t="shared" si="6"/>
        <v>63928.104224999995</v>
      </c>
    </row>
    <row r="74" spans="1:7">
      <c r="A74" s="5" t="s">
        <v>138</v>
      </c>
      <c r="B74" s="56">
        <v>7100</v>
      </c>
      <c r="C74" s="56">
        <v>800</v>
      </c>
      <c r="D74" s="56">
        <v>2750</v>
      </c>
      <c r="E74" s="56">
        <v>6000</v>
      </c>
      <c r="F74" s="56"/>
      <c r="G74" s="47">
        <f t="shared" si="6"/>
        <v>16650</v>
      </c>
    </row>
    <row r="75" spans="1:7">
      <c r="A75" s="5" t="s">
        <v>402</v>
      </c>
      <c r="B75" s="56"/>
      <c r="C75" s="56"/>
      <c r="D75" s="56"/>
      <c r="E75" s="56"/>
      <c r="F75" s="56">
        <v>2500</v>
      </c>
      <c r="G75" s="47">
        <f t="shared" si="6"/>
        <v>2500</v>
      </c>
    </row>
    <row r="76" spans="1:7" ht="15">
      <c r="A76" s="45" t="s">
        <v>542</v>
      </c>
      <c r="B76" s="48">
        <f>SUM(B65:B75)</f>
        <v>1137611.6768</v>
      </c>
      <c r="C76" s="48">
        <f t="shared" ref="C76:G76" si="7">SUM(C65:C75)</f>
        <v>1084070.4759749998</v>
      </c>
      <c r="D76" s="48">
        <f t="shared" si="7"/>
        <v>596535.22880000004</v>
      </c>
      <c r="E76" s="48">
        <f t="shared" si="7"/>
        <v>611913.80319999997</v>
      </c>
      <c r="F76" s="48">
        <f t="shared" si="7"/>
        <v>1183259.0144499999</v>
      </c>
      <c r="G76" s="48">
        <f t="shared" si="7"/>
        <v>4613390.1992250001</v>
      </c>
    </row>
    <row r="77" spans="1:7" ht="15">
      <c r="A77" s="10" t="s">
        <v>381</v>
      </c>
    </row>
    <row r="78" spans="1:7">
      <c r="A78" s="5" t="s">
        <v>272</v>
      </c>
      <c r="B78" s="56"/>
      <c r="C78" s="56"/>
      <c r="D78" s="56">
        <v>580000</v>
      </c>
      <c r="G78" s="47">
        <f>SUM(B78:F78)</f>
        <v>580000</v>
      </c>
    </row>
    <row r="79" spans="1:7">
      <c r="A79" s="5" t="s">
        <v>273</v>
      </c>
      <c r="B79" s="56"/>
      <c r="C79" s="56"/>
      <c r="D79" s="56">
        <v>25000</v>
      </c>
      <c r="G79" s="47">
        <f t="shared" ref="G79:G142" si="8">SUM(B79:F79)</f>
        <v>25000</v>
      </c>
    </row>
    <row r="80" spans="1:7">
      <c r="A80" s="5" t="s">
        <v>139</v>
      </c>
      <c r="B80" s="56"/>
      <c r="C80" s="56"/>
      <c r="D80" s="56">
        <v>25000</v>
      </c>
      <c r="G80" s="47">
        <f t="shared" si="8"/>
        <v>25000</v>
      </c>
    </row>
    <row r="81" spans="1:7">
      <c r="A81" s="5" t="s">
        <v>140</v>
      </c>
      <c r="B81" s="56"/>
      <c r="C81" s="56"/>
      <c r="D81" s="56">
        <v>148500</v>
      </c>
      <c r="G81" s="47">
        <f t="shared" si="8"/>
        <v>148500</v>
      </c>
    </row>
    <row r="82" spans="1:7">
      <c r="A82" s="5" t="s">
        <v>327</v>
      </c>
      <c r="B82" s="56">
        <v>2500</v>
      </c>
      <c r="C82" s="56"/>
      <c r="D82" s="56"/>
      <c r="G82" s="47">
        <f t="shared" si="8"/>
        <v>2500</v>
      </c>
    </row>
    <row r="83" spans="1:7" ht="15">
      <c r="A83" s="52" t="s">
        <v>556</v>
      </c>
      <c r="B83" s="57">
        <f>SUM(B78:B82)</f>
        <v>2500</v>
      </c>
      <c r="C83" s="57">
        <f t="shared" ref="C83:G83" si="9">SUM(C78:C82)</f>
        <v>0</v>
      </c>
      <c r="D83" s="57">
        <f t="shared" si="9"/>
        <v>778500</v>
      </c>
      <c r="E83" s="57">
        <f t="shared" si="9"/>
        <v>0</v>
      </c>
      <c r="F83" s="57">
        <f t="shared" si="9"/>
        <v>0</v>
      </c>
      <c r="G83" s="57">
        <f t="shared" si="9"/>
        <v>781000</v>
      </c>
    </row>
    <row r="84" spans="1:7" ht="15">
      <c r="A84" s="10" t="s">
        <v>382</v>
      </c>
      <c r="B84" s="8"/>
      <c r="C84" s="8"/>
      <c r="D84" s="8"/>
    </row>
    <row r="85" spans="1:7" ht="15">
      <c r="A85" s="10" t="s">
        <v>382</v>
      </c>
      <c r="G85" s="47">
        <f t="shared" si="8"/>
        <v>0</v>
      </c>
    </row>
    <row r="86" spans="1:7">
      <c r="A86" s="5" t="s">
        <v>227</v>
      </c>
      <c r="B86" s="56"/>
      <c r="C86" s="56"/>
      <c r="D86" s="56"/>
      <c r="E86" s="56"/>
      <c r="F86" s="56">
        <v>20000</v>
      </c>
      <c r="G86" s="47">
        <f t="shared" si="8"/>
        <v>20000</v>
      </c>
    </row>
    <row r="87" spans="1:7">
      <c r="A87" s="5" t="s">
        <v>226</v>
      </c>
      <c r="B87" s="56"/>
      <c r="C87" s="56"/>
      <c r="D87" s="56"/>
      <c r="E87" s="56"/>
      <c r="F87" s="56">
        <v>90000</v>
      </c>
      <c r="G87" s="47">
        <f t="shared" si="8"/>
        <v>90000</v>
      </c>
    </row>
    <row r="88" spans="1:7">
      <c r="A88" s="5" t="s">
        <v>120</v>
      </c>
      <c r="B88" s="56"/>
      <c r="C88" s="56">
        <v>6500</v>
      </c>
      <c r="D88" s="56">
        <v>2800</v>
      </c>
      <c r="E88" s="56">
        <v>800</v>
      </c>
      <c r="F88" s="56">
        <v>9000</v>
      </c>
      <c r="G88" s="47">
        <f t="shared" si="8"/>
        <v>19100</v>
      </c>
    </row>
    <row r="89" spans="1:7">
      <c r="A89" s="5" t="s">
        <v>167</v>
      </c>
      <c r="B89" s="56">
        <v>500</v>
      </c>
      <c r="C89" s="56">
        <v>4000</v>
      </c>
      <c r="D89" s="56">
        <v>5500</v>
      </c>
      <c r="E89" s="56">
        <v>1000</v>
      </c>
      <c r="F89" s="56">
        <v>2000</v>
      </c>
      <c r="G89" s="47">
        <f t="shared" si="8"/>
        <v>13000</v>
      </c>
    </row>
    <row r="90" spans="1:7">
      <c r="A90" s="5" t="s">
        <v>189</v>
      </c>
      <c r="B90" s="56"/>
      <c r="C90" s="56">
        <v>4000</v>
      </c>
      <c r="D90" s="56"/>
      <c r="E90" s="56"/>
      <c r="F90" s="56">
        <v>37500</v>
      </c>
      <c r="G90" s="47">
        <f t="shared" si="8"/>
        <v>41500</v>
      </c>
    </row>
    <row r="91" spans="1:7">
      <c r="A91" s="5" t="s">
        <v>190</v>
      </c>
      <c r="B91" s="56"/>
      <c r="C91" s="56">
        <v>5000</v>
      </c>
      <c r="D91" s="56"/>
      <c r="E91" s="56"/>
      <c r="F91" s="56">
        <v>85000</v>
      </c>
      <c r="G91" s="47">
        <f t="shared" si="8"/>
        <v>90000</v>
      </c>
    </row>
    <row r="92" spans="1:7">
      <c r="A92" s="5" t="s">
        <v>228</v>
      </c>
      <c r="B92" s="56"/>
      <c r="C92" s="56"/>
      <c r="D92" s="56"/>
      <c r="E92" s="56"/>
      <c r="F92" s="56">
        <v>6500</v>
      </c>
      <c r="G92" s="47">
        <f t="shared" si="8"/>
        <v>6500</v>
      </c>
    </row>
    <row r="93" spans="1:7">
      <c r="A93" s="5" t="s">
        <v>191</v>
      </c>
      <c r="B93" s="56"/>
      <c r="C93" s="56"/>
      <c r="D93" s="56">
        <v>1500</v>
      </c>
      <c r="E93" s="56"/>
      <c r="F93" s="56">
        <v>95000</v>
      </c>
      <c r="G93" s="47">
        <f t="shared" si="8"/>
        <v>96500</v>
      </c>
    </row>
    <row r="94" spans="1:7">
      <c r="A94" s="5" t="s">
        <v>183</v>
      </c>
      <c r="B94" s="56"/>
      <c r="C94" s="56">
        <v>6000</v>
      </c>
      <c r="D94" s="56"/>
      <c r="E94" s="56">
        <v>30000</v>
      </c>
      <c r="F94" s="56">
        <v>20000</v>
      </c>
      <c r="G94" s="47">
        <f t="shared" si="8"/>
        <v>56000</v>
      </c>
    </row>
    <row r="95" spans="1:7">
      <c r="A95" s="5" t="s">
        <v>168</v>
      </c>
      <c r="B95" s="56">
        <v>86400</v>
      </c>
      <c r="C95" s="56"/>
      <c r="D95" s="56"/>
      <c r="E95" s="56">
        <v>44500</v>
      </c>
      <c r="F95" s="56"/>
      <c r="G95" s="47">
        <f t="shared" si="8"/>
        <v>130900</v>
      </c>
    </row>
    <row r="96" spans="1:7">
      <c r="A96" s="5" t="s">
        <v>222</v>
      </c>
      <c r="B96" s="56"/>
      <c r="C96" s="56"/>
      <c r="D96" s="56"/>
      <c r="E96" s="56"/>
      <c r="F96" s="56">
        <v>5000</v>
      </c>
      <c r="G96" s="47">
        <f t="shared" si="8"/>
        <v>5000</v>
      </c>
    </row>
    <row r="97" spans="1:7">
      <c r="A97" s="5" t="s">
        <v>217</v>
      </c>
      <c r="B97" s="56"/>
      <c r="C97" s="56"/>
      <c r="D97" s="56"/>
      <c r="E97" s="56">
        <v>14222</v>
      </c>
      <c r="F97" s="56"/>
      <c r="G97" s="47">
        <f t="shared" si="8"/>
        <v>14222</v>
      </c>
    </row>
    <row r="98" spans="1:7">
      <c r="A98" s="5" t="s">
        <v>169</v>
      </c>
      <c r="B98" s="56">
        <v>45500</v>
      </c>
      <c r="C98" s="56">
        <v>25500</v>
      </c>
      <c r="D98" s="56">
        <v>43000</v>
      </c>
      <c r="E98" s="56">
        <v>8500</v>
      </c>
      <c r="F98" s="56">
        <v>28000</v>
      </c>
      <c r="G98" s="47">
        <f t="shared" si="8"/>
        <v>150500</v>
      </c>
    </row>
    <row r="99" spans="1:7">
      <c r="A99" s="5" t="s">
        <v>110</v>
      </c>
      <c r="B99" s="56">
        <v>96700</v>
      </c>
      <c r="C99" s="56">
        <v>15500</v>
      </c>
      <c r="D99" s="56">
        <v>29500</v>
      </c>
      <c r="E99" s="56">
        <v>6400</v>
      </c>
      <c r="F99" s="56">
        <v>2500</v>
      </c>
      <c r="G99" s="47">
        <f t="shared" si="8"/>
        <v>150600</v>
      </c>
    </row>
    <row r="100" spans="1:7">
      <c r="A100" s="5" t="s">
        <v>274</v>
      </c>
      <c r="B100" s="56">
        <v>4900</v>
      </c>
      <c r="C100" s="56"/>
      <c r="D100" s="56">
        <v>1400</v>
      </c>
      <c r="E100" s="56">
        <v>1000</v>
      </c>
      <c r="F100" s="56"/>
      <c r="G100" s="47">
        <f t="shared" si="8"/>
        <v>7300</v>
      </c>
    </row>
    <row r="101" spans="1:7">
      <c r="A101" s="5" t="s">
        <v>328</v>
      </c>
      <c r="B101" s="56">
        <v>4150</v>
      </c>
      <c r="C101" s="56"/>
      <c r="D101" s="56"/>
      <c r="E101" s="56"/>
      <c r="F101" s="56"/>
      <c r="G101" s="47">
        <f t="shared" si="8"/>
        <v>4150</v>
      </c>
    </row>
    <row r="102" spans="1:7">
      <c r="A102" s="5" t="s">
        <v>187</v>
      </c>
      <c r="B102" s="56"/>
      <c r="C102" s="56">
        <v>52239</v>
      </c>
      <c r="D102" s="56"/>
      <c r="E102" s="56"/>
      <c r="F102" s="56"/>
      <c r="G102" s="47">
        <f t="shared" si="8"/>
        <v>52239</v>
      </c>
    </row>
    <row r="103" spans="1:7">
      <c r="A103" s="5" t="s">
        <v>193</v>
      </c>
      <c r="B103" s="56">
        <v>40000</v>
      </c>
      <c r="C103" s="56"/>
      <c r="D103" s="56"/>
      <c r="E103" s="56"/>
      <c r="F103" s="56"/>
      <c r="G103" s="47">
        <f t="shared" si="8"/>
        <v>40000</v>
      </c>
    </row>
    <row r="104" spans="1:7">
      <c r="A104" s="5" t="s">
        <v>194</v>
      </c>
      <c r="B104" s="56">
        <v>100000</v>
      </c>
      <c r="C104" s="56"/>
      <c r="D104" s="56"/>
      <c r="E104" s="56"/>
      <c r="F104" s="56">
        <v>189112</v>
      </c>
      <c r="G104" s="47">
        <f t="shared" si="8"/>
        <v>289112</v>
      </c>
    </row>
    <row r="105" spans="1:7">
      <c r="A105" s="5" t="s">
        <v>223</v>
      </c>
      <c r="B105" s="56"/>
      <c r="C105" s="56"/>
      <c r="D105" s="56">
        <v>10000</v>
      </c>
      <c r="E105" s="56">
        <v>3000</v>
      </c>
      <c r="F105" s="56">
        <v>10000</v>
      </c>
      <c r="G105" s="47">
        <f t="shared" si="8"/>
        <v>23000</v>
      </c>
    </row>
    <row r="106" spans="1:7">
      <c r="A106" s="5" t="s">
        <v>112</v>
      </c>
      <c r="B106" s="56">
        <v>387000</v>
      </c>
      <c r="C106" s="56">
        <v>55191</v>
      </c>
      <c r="D106" s="56">
        <v>32000</v>
      </c>
      <c r="E106" s="56">
        <v>81769</v>
      </c>
      <c r="F106" s="56">
        <v>33000</v>
      </c>
      <c r="G106" s="47">
        <f t="shared" si="8"/>
        <v>588960</v>
      </c>
    </row>
    <row r="107" spans="1:7">
      <c r="A107" s="5" t="s">
        <v>160</v>
      </c>
      <c r="B107" s="56">
        <v>29200</v>
      </c>
      <c r="C107" s="56">
        <v>2195</v>
      </c>
      <c r="D107" s="56">
        <v>-45350</v>
      </c>
      <c r="E107" s="56"/>
      <c r="F107" s="56"/>
      <c r="G107" s="47">
        <f t="shared" si="8"/>
        <v>-13955</v>
      </c>
    </row>
    <row r="108" spans="1:7">
      <c r="A108" s="5" t="s">
        <v>111</v>
      </c>
      <c r="B108" s="56">
        <v>29500</v>
      </c>
      <c r="C108" s="56">
        <v>19000</v>
      </c>
      <c r="D108" s="56">
        <v>32000</v>
      </c>
      <c r="E108" s="56">
        <v>12500</v>
      </c>
      <c r="F108" s="56"/>
      <c r="G108" s="47">
        <f t="shared" si="8"/>
        <v>93000</v>
      </c>
    </row>
    <row r="109" spans="1:7">
      <c r="A109" s="5" t="s">
        <v>188</v>
      </c>
      <c r="B109" s="56"/>
      <c r="C109" s="56"/>
      <c r="D109" s="56"/>
      <c r="E109" s="56"/>
      <c r="F109" s="56">
        <v>250</v>
      </c>
      <c r="G109" s="47">
        <f t="shared" si="8"/>
        <v>250</v>
      </c>
    </row>
    <row r="110" spans="1:7">
      <c r="A110" s="5" t="s">
        <v>121</v>
      </c>
      <c r="B110" s="56">
        <v>7650</v>
      </c>
      <c r="C110" s="56">
        <v>9000</v>
      </c>
      <c r="D110" s="56">
        <v>3800</v>
      </c>
      <c r="E110" s="56">
        <v>3500</v>
      </c>
      <c r="F110" s="56">
        <v>11500</v>
      </c>
      <c r="G110" s="47">
        <f t="shared" si="8"/>
        <v>35450</v>
      </c>
    </row>
    <row r="111" spans="1:7">
      <c r="A111" s="5" t="s">
        <v>224</v>
      </c>
      <c r="B111" s="56"/>
      <c r="C111" s="56"/>
      <c r="D111" s="56"/>
      <c r="E111" s="56"/>
      <c r="F111" s="56">
        <v>26500</v>
      </c>
      <c r="G111" s="47">
        <f t="shared" si="8"/>
        <v>26500</v>
      </c>
    </row>
    <row r="112" spans="1:7">
      <c r="A112" s="5" t="s">
        <v>142</v>
      </c>
      <c r="B112" s="56">
        <v>13350</v>
      </c>
      <c r="C112" s="56">
        <v>1000</v>
      </c>
      <c r="D112" s="56">
        <v>9600</v>
      </c>
      <c r="E112" s="56">
        <v>3000</v>
      </c>
      <c r="F112" s="56">
        <v>2000</v>
      </c>
      <c r="G112" s="47">
        <f t="shared" si="8"/>
        <v>28950</v>
      </c>
    </row>
    <row r="113" spans="1:7">
      <c r="A113" s="5" t="s">
        <v>141</v>
      </c>
      <c r="B113" s="56"/>
      <c r="C113" s="56"/>
      <c r="D113" s="56">
        <v>100</v>
      </c>
      <c r="E113" s="56">
        <v>2500</v>
      </c>
      <c r="F113" s="56">
        <v>17000</v>
      </c>
      <c r="G113" s="47">
        <f t="shared" si="8"/>
        <v>19600</v>
      </c>
    </row>
    <row r="114" spans="1:7">
      <c r="A114" s="5" t="s">
        <v>174</v>
      </c>
      <c r="B114" s="56">
        <v>150</v>
      </c>
      <c r="C114" s="56">
        <v>840</v>
      </c>
      <c r="D114" s="56">
        <v>1000</v>
      </c>
      <c r="E114" s="56">
        <v>2500</v>
      </c>
      <c r="F114" s="56">
        <v>45000</v>
      </c>
      <c r="G114" s="47">
        <f t="shared" si="8"/>
        <v>49490</v>
      </c>
    </row>
    <row r="115" spans="1:7">
      <c r="A115" s="5" t="s">
        <v>123</v>
      </c>
      <c r="B115" s="56">
        <v>8600</v>
      </c>
      <c r="C115" s="56">
        <v>6300</v>
      </c>
      <c r="D115" s="56">
        <v>5900</v>
      </c>
      <c r="E115" s="56"/>
      <c r="F115" s="56">
        <v>20000</v>
      </c>
      <c r="G115" s="47">
        <f t="shared" si="8"/>
        <v>40800</v>
      </c>
    </row>
    <row r="116" spans="1:7">
      <c r="A116" s="5" t="s">
        <v>156</v>
      </c>
      <c r="B116" s="56">
        <v>17500</v>
      </c>
      <c r="C116" s="56">
        <v>3000</v>
      </c>
      <c r="D116" s="56">
        <v>3000</v>
      </c>
      <c r="E116" s="56">
        <v>6500</v>
      </c>
      <c r="F116" s="56"/>
      <c r="G116" s="47">
        <f t="shared" si="8"/>
        <v>30000</v>
      </c>
    </row>
    <row r="117" spans="1:7">
      <c r="A117" s="5" t="s">
        <v>124</v>
      </c>
      <c r="B117" s="56"/>
      <c r="C117" s="56">
        <v>6500</v>
      </c>
      <c r="D117" s="56"/>
      <c r="E117" s="56">
        <v>4500</v>
      </c>
      <c r="F117" s="56">
        <v>20000</v>
      </c>
      <c r="G117" s="47">
        <f t="shared" si="8"/>
        <v>31000</v>
      </c>
    </row>
    <row r="118" spans="1:7">
      <c r="A118" s="5" t="s">
        <v>310</v>
      </c>
      <c r="B118" s="56">
        <v>15000</v>
      </c>
      <c r="C118" s="56"/>
      <c r="D118" s="56"/>
      <c r="E118" s="56"/>
      <c r="F118" s="56"/>
      <c r="G118" s="47">
        <f t="shared" si="8"/>
        <v>15000</v>
      </c>
    </row>
    <row r="119" spans="1:7" ht="15">
      <c r="A119" s="10" t="s">
        <v>157</v>
      </c>
      <c r="G119" s="47">
        <f t="shared" si="8"/>
        <v>0</v>
      </c>
    </row>
    <row r="120" spans="1:7">
      <c r="A120" s="5" t="s">
        <v>299</v>
      </c>
      <c r="B120" s="56"/>
      <c r="C120" s="56"/>
      <c r="D120" s="56"/>
      <c r="E120" s="56">
        <v>2500</v>
      </c>
      <c r="F120" s="56"/>
      <c r="G120" s="47">
        <f>SUM(B120:F120)</f>
        <v>2500</v>
      </c>
    </row>
    <row r="121" spans="1:7">
      <c r="A121" s="5" t="s">
        <v>301</v>
      </c>
      <c r="B121" s="56"/>
      <c r="C121" s="56"/>
      <c r="D121" s="56"/>
      <c r="E121" s="56">
        <v>1500</v>
      </c>
      <c r="F121" s="56"/>
      <c r="G121" s="47">
        <f t="shared" si="8"/>
        <v>1500</v>
      </c>
    </row>
    <row r="122" spans="1:7">
      <c r="A122" s="5" t="s">
        <v>181</v>
      </c>
      <c r="B122" s="56"/>
      <c r="C122" s="56"/>
      <c r="D122" s="56"/>
      <c r="E122" s="56">
        <v>2400</v>
      </c>
      <c r="F122" s="56">
        <v>3000</v>
      </c>
      <c r="G122" s="47">
        <f t="shared" si="8"/>
        <v>5400</v>
      </c>
    </row>
    <row r="123" spans="1:7">
      <c r="A123" s="5" t="s">
        <v>199</v>
      </c>
      <c r="B123" s="56"/>
      <c r="C123" s="56"/>
      <c r="D123" s="56"/>
      <c r="E123" s="56">
        <v>450</v>
      </c>
      <c r="F123" s="56"/>
      <c r="G123" s="47">
        <f t="shared" si="8"/>
        <v>450</v>
      </c>
    </row>
    <row r="124" spans="1:7">
      <c r="A124" s="5" t="s">
        <v>159</v>
      </c>
      <c r="B124" s="56">
        <v>500</v>
      </c>
      <c r="C124" s="56">
        <v>250</v>
      </c>
      <c r="D124" s="56"/>
      <c r="E124" s="56">
        <v>3500</v>
      </c>
      <c r="F124" s="56"/>
      <c r="G124" s="47">
        <f t="shared" si="8"/>
        <v>4250</v>
      </c>
    </row>
    <row r="125" spans="1:7">
      <c r="A125" s="5" t="s">
        <v>158</v>
      </c>
      <c r="B125" s="56">
        <v>20200</v>
      </c>
      <c r="C125" s="56">
        <v>800</v>
      </c>
      <c r="D125" s="56">
        <v>2600</v>
      </c>
      <c r="E125" s="56">
        <v>2700</v>
      </c>
      <c r="F125" s="56">
        <v>900</v>
      </c>
      <c r="G125" s="47">
        <f t="shared" si="8"/>
        <v>27200</v>
      </c>
    </row>
    <row r="126" spans="1:7">
      <c r="A126" s="5" t="s">
        <v>420</v>
      </c>
      <c r="B126" s="56"/>
      <c r="C126" s="56"/>
      <c r="D126" s="56"/>
      <c r="E126" s="56">
        <v>8500</v>
      </c>
      <c r="F126" s="56"/>
      <c r="G126" s="47">
        <f t="shared" si="8"/>
        <v>8500</v>
      </c>
    </row>
    <row r="127" spans="1:7" ht="15">
      <c r="A127" s="10" t="s">
        <v>384</v>
      </c>
      <c r="G127" s="47">
        <f t="shared" si="8"/>
        <v>0</v>
      </c>
    </row>
    <row r="128" spans="1:7">
      <c r="A128" s="5" t="s">
        <v>263</v>
      </c>
      <c r="B128" s="56">
        <v>1782828</v>
      </c>
      <c r="C128" s="56"/>
      <c r="D128" s="56"/>
      <c r="E128" s="56"/>
      <c r="F128" s="56"/>
      <c r="G128" s="47">
        <f t="shared" si="8"/>
        <v>1782828</v>
      </c>
    </row>
    <row r="129" spans="1:7">
      <c r="A129" s="5" t="s">
        <v>127</v>
      </c>
      <c r="B129" s="56">
        <v>48000</v>
      </c>
      <c r="C129" s="56">
        <v>4000</v>
      </c>
      <c r="D129" s="56">
        <v>54500</v>
      </c>
      <c r="E129" s="56">
        <v>2500</v>
      </c>
      <c r="F129" s="56">
        <v>1500</v>
      </c>
      <c r="G129" s="47">
        <f t="shared" si="8"/>
        <v>110500</v>
      </c>
    </row>
    <row r="130" spans="1:7">
      <c r="A130" s="5" t="s">
        <v>144</v>
      </c>
      <c r="B130" s="56">
        <v>68000</v>
      </c>
      <c r="C130" s="56">
        <v>5000</v>
      </c>
      <c r="D130" s="56">
        <v>13500</v>
      </c>
      <c r="E130" s="56">
        <v>500</v>
      </c>
      <c r="F130" s="56"/>
      <c r="G130" s="47">
        <f t="shared" si="8"/>
        <v>87000</v>
      </c>
    </row>
    <row r="131" spans="1:7" ht="15">
      <c r="A131" s="10" t="s">
        <v>385</v>
      </c>
      <c r="G131" s="47">
        <f t="shared" si="8"/>
        <v>0</v>
      </c>
    </row>
    <row r="132" spans="1:7">
      <c r="A132" s="5" t="s">
        <v>285</v>
      </c>
      <c r="B132" s="56">
        <v>17500</v>
      </c>
      <c r="C132" s="56"/>
      <c r="D132" s="56"/>
      <c r="E132" s="56">
        <v>-17500</v>
      </c>
      <c r="F132" s="56"/>
      <c r="G132" s="47">
        <f t="shared" si="8"/>
        <v>0</v>
      </c>
    </row>
    <row r="133" spans="1:7">
      <c r="A133" s="5" t="s">
        <v>125</v>
      </c>
      <c r="B133" s="56"/>
      <c r="C133" s="56">
        <v>95246.75</v>
      </c>
      <c r="D133" s="56">
        <v>-140211.20480000001</v>
      </c>
      <c r="E133" s="56">
        <v>32376.5</v>
      </c>
      <c r="F133" s="56">
        <v>12587.95</v>
      </c>
      <c r="G133" s="47">
        <f t="shared" si="8"/>
        <v>-4.800000006071059E-3</v>
      </c>
    </row>
    <row r="134" spans="1:7">
      <c r="A134" s="5" t="s">
        <v>195</v>
      </c>
      <c r="B134" s="56"/>
      <c r="C134" s="56">
        <v>50000</v>
      </c>
      <c r="D134" s="56"/>
      <c r="E134" s="56"/>
      <c r="F134" s="56">
        <v>-50000</v>
      </c>
      <c r="G134" s="47">
        <f t="shared" si="8"/>
        <v>0</v>
      </c>
    </row>
    <row r="135" spans="1:7">
      <c r="A135" s="5" t="s">
        <v>146</v>
      </c>
      <c r="B135" s="56">
        <v>160</v>
      </c>
      <c r="C135" s="56"/>
      <c r="D135" s="56">
        <v>-160</v>
      </c>
      <c r="E135" s="56"/>
      <c r="F135" s="56"/>
      <c r="G135" s="47">
        <f t="shared" si="8"/>
        <v>0</v>
      </c>
    </row>
    <row r="136" spans="1:7">
      <c r="A136" s="5" t="s">
        <v>161</v>
      </c>
      <c r="B136" s="56">
        <v>55000</v>
      </c>
      <c r="C136" s="56">
        <v>16000</v>
      </c>
      <c r="D136" s="56">
        <v>-103000</v>
      </c>
      <c r="E136" s="56">
        <v>22000</v>
      </c>
      <c r="F136" s="56">
        <v>10000</v>
      </c>
      <c r="G136" s="47">
        <f t="shared" si="8"/>
        <v>0</v>
      </c>
    </row>
    <row r="137" spans="1:7">
      <c r="A137" s="5" t="s">
        <v>200</v>
      </c>
      <c r="B137" s="56">
        <v>1000</v>
      </c>
      <c r="C137" s="56"/>
      <c r="D137" s="56">
        <v>-1000</v>
      </c>
      <c r="E137" s="56"/>
      <c r="F137" s="56"/>
      <c r="G137" s="47">
        <f t="shared" si="8"/>
        <v>0</v>
      </c>
    </row>
    <row r="138" spans="1:7">
      <c r="A138" s="5" t="s">
        <v>147</v>
      </c>
      <c r="B138" s="56"/>
      <c r="C138" s="56"/>
      <c r="D138" s="56">
        <v>-19200</v>
      </c>
      <c r="E138" s="56"/>
      <c r="F138" s="56">
        <v>19200</v>
      </c>
      <c r="G138" s="47">
        <f t="shared" si="8"/>
        <v>0</v>
      </c>
    </row>
    <row r="139" spans="1:7">
      <c r="A139" s="5" t="s">
        <v>279</v>
      </c>
      <c r="B139" s="56">
        <v>-10000</v>
      </c>
      <c r="C139" s="56">
        <v>10000</v>
      </c>
      <c r="D139" s="56"/>
      <c r="E139" s="56"/>
      <c r="F139" s="56"/>
      <c r="G139" s="47">
        <f t="shared" si="8"/>
        <v>0</v>
      </c>
    </row>
    <row r="140" spans="1:7">
      <c r="A140" s="5" t="s">
        <v>148</v>
      </c>
      <c r="B140" s="56">
        <v>-45500</v>
      </c>
      <c r="C140" s="56"/>
      <c r="D140" s="56">
        <v>43000</v>
      </c>
      <c r="E140" s="56">
        <v>2500</v>
      </c>
      <c r="F140" s="56"/>
      <c r="G140" s="47">
        <f>SUM(B140:F140)</f>
        <v>0</v>
      </c>
    </row>
    <row r="141" spans="1:7">
      <c r="A141" s="5" t="s">
        <v>334</v>
      </c>
      <c r="B141" s="56"/>
      <c r="C141" s="56"/>
      <c r="D141" s="56"/>
      <c r="E141" s="56"/>
      <c r="F141" s="56"/>
      <c r="G141" s="47">
        <f t="shared" si="8"/>
        <v>0</v>
      </c>
    </row>
    <row r="142" spans="1:7">
      <c r="A142" s="5" t="s">
        <v>162</v>
      </c>
      <c r="B142" s="56">
        <v>-5850</v>
      </c>
      <c r="C142" s="56">
        <v>350</v>
      </c>
      <c r="D142" s="56">
        <v>5500</v>
      </c>
      <c r="E142" s="56"/>
      <c r="F142" s="56"/>
      <c r="G142" s="47">
        <f t="shared" si="8"/>
        <v>0</v>
      </c>
    </row>
    <row r="143" spans="1:7" ht="15">
      <c r="A143" s="45" t="s">
        <v>543</v>
      </c>
      <c r="B143" s="48">
        <f>SUM(B86:B142)</f>
        <v>2817938</v>
      </c>
      <c r="C143" s="48">
        <f t="shared" ref="C143:G143" si="10">SUM(C86:C142)</f>
        <v>403411.75</v>
      </c>
      <c r="D143" s="48">
        <f t="shared" si="10"/>
        <v>-8721.2048000000068</v>
      </c>
      <c r="E143" s="48">
        <f t="shared" si="10"/>
        <v>290117.5</v>
      </c>
      <c r="F143" s="48">
        <f t="shared" si="10"/>
        <v>772049.95</v>
      </c>
      <c r="G143" s="48">
        <f t="shared" si="10"/>
        <v>4274795.9951999998</v>
      </c>
    </row>
    <row r="144" spans="1:7" ht="15">
      <c r="A144" s="10" t="s">
        <v>230</v>
      </c>
    </row>
    <row r="145" spans="1:13">
      <c r="A145" s="5" t="s">
        <v>231</v>
      </c>
      <c r="F145" s="47">
        <v>13500</v>
      </c>
      <c r="G145" s="47">
        <f>SUM(B145:F145)</f>
        <v>13500</v>
      </c>
    </row>
    <row r="146" spans="1:13">
      <c r="A146" s="5" t="s">
        <v>129</v>
      </c>
      <c r="E146" s="47">
        <v>2500</v>
      </c>
      <c r="F146" s="47">
        <v>6000</v>
      </c>
      <c r="G146" s="47">
        <f>SUM(B146:F146)</f>
        <v>8500</v>
      </c>
    </row>
    <row r="147" spans="1:13" ht="15">
      <c r="A147" s="45" t="s">
        <v>528</v>
      </c>
      <c r="B147" s="48">
        <f>SUM(B145:B146)</f>
        <v>0</v>
      </c>
      <c r="C147" s="48">
        <f t="shared" ref="C147:G147" si="11">SUM(C145:C146)</f>
        <v>0</v>
      </c>
      <c r="D147" s="48">
        <f t="shared" si="11"/>
        <v>0</v>
      </c>
      <c r="E147" s="48">
        <f t="shared" si="11"/>
        <v>2500</v>
      </c>
      <c r="F147" s="48">
        <f t="shared" si="11"/>
        <v>19500</v>
      </c>
      <c r="G147" s="48">
        <f t="shared" si="11"/>
        <v>22000</v>
      </c>
    </row>
    <row r="148" spans="1:13" ht="15">
      <c r="A148" s="10" t="s">
        <v>544</v>
      </c>
      <c r="J148">
        <v>2015</v>
      </c>
      <c r="K148">
        <v>2014</v>
      </c>
      <c r="L148" t="s">
        <v>565</v>
      </c>
      <c r="M148" t="s">
        <v>566</v>
      </c>
    </row>
    <row r="149" spans="1:13">
      <c r="A149" s="5" t="s">
        <v>544</v>
      </c>
      <c r="B149" s="61"/>
      <c r="C149" s="61"/>
      <c r="D149" s="61"/>
      <c r="E149" s="61"/>
      <c r="F149" s="61">
        <f>J150</f>
        <v>4506088.9718324626</v>
      </c>
      <c r="G149" s="47">
        <f>SUM(B149:F149)</f>
        <v>4506088.9718324626</v>
      </c>
      <c r="J149">
        <v>3901197</v>
      </c>
      <c r="K149">
        <v>3377505</v>
      </c>
      <c r="L149">
        <f>J149-K149</f>
        <v>523692</v>
      </c>
      <c r="M149">
        <f>L149/K149</f>
        <v>0.15505291627991669</v>
      </c>
    </row>
    <row r="150" spans="1:13" ht="15">
      <c r="A150" s="45" t="s">
        <v>545</v>
      </c>
      <c r="B150" s="48">
        <f>B149</f>
        <v>0</v>
      </c>
      <c r="C150" s="48">
        <f t="shared" ref="C150:G150" si="12">C149</f>
        <v>0</v>
      </c>
      <c r="D150" s="48">
        <f t="shared" si="12"/>
        <v>0</v>
      </c>
      <c r="E150" s="48">
        <f t="shared" si="12"/>
        <v>0</v>
      </c>
      <c r="F150" s="48">
        <f t="shared" si="12"/>
        <v>4506088.9718324626</v>
      </c>
      <c r="G150" s="48">
        <f t="shared" si="12"/>
        <v>4506088.9718324626</v>
      </c>
      <c r="J150">
        <f>J149*(1+$M$149)</f>
        <v>4506088.9718324626</v>
      </c>
    </row>
    <row r="151" spans="1:13" ht="15">
      <c r="A151" s="10" t="s">
        <v>546</v>
      </c>
      <c r="B151" s="50">
        <f>SUM(B64:B150)/2</f>
        <v>3958049.6768</v>
      </c>
      <c r="C151" s="50">
        <f t="shared" ref="C151:G151" si="13">SUM(C64:C150)/2</f>
        <v>1487482.2259749998</v>
      </c>
      <c r="D151" s="50">
        <f t="shared" si="13"/>
        <v>1366314.0240000002</v>
      </c>
      <c r="E151" s="50">
        <f t="shared" si="13"/>
        <v>904531.30319999997</v>
      </c>
      <c r="F151" s="50">
        <f t="shared" si="13"/>
        <v>6480897.9362824615</v>
      </c>
      <c r="G151" s="50">
        <f t="shared" si="13"/>
        <v>14197275.166257462</v>
      </c>
    </row>
    <row r="153" spans="1:13" ht="15">
      <c r="A153" s="10" t="s">
        <v>547</v>
      </c>
      <c r="B153" s="50">
        <f t="shared" ref="B153:G153" si="14">B61+B151</f>
        <v>-378530.32319999998</v>
      </c>
      <c r="C153" s="50">
        <f t="shared" si="14"/>
        <v>-37214.774025000166</v>
      </c>
      <c r="D153" s="50">
        <f t="shared" si="14"/>
        <v>110314.27400000021</v>
      </c>
      <c r="E153" s="50">
        <f t="shared" si="14"/>
        <v>-154028.69680000003</v>
      </c>
      <c r="F153" s="50">
        <f t="shared" si="14"/>
        <v>2761257.9362824615</v>
      </c>
      <c r="G153" s="50">
        <f t="shared" si="14"/>
        <v>2301798.4162574615</v>
      </c>
    </row>
    <row r="155" spans="1:13" ht="15">
      <c r="A155" s="10" t="s">
        <v>550</v>
      </c>
    </row>
    <row r="157" spans="1:13" ht="15">
      <c r="A157" s="10" t="s">
        <v>380</v>
      </c>
      <c r="B157" s="49"/>
    </row>
    <row r="158" spans="1:13">
      <c r="A158" s="5" t="s">
        <v>336</v>
      </c>
      <c r="B158" s="47">
        <v>-169487</v>
      </c>
      <c r="G158" s="47">
        <f>SUM(B158:F158)</f>
        <v>-169487</v>
      </c>
    </row>
    <row r="159" spans="1:13">
      <c r="A159" s="5" t="s">
        <v>340</v>
      </c>
      <c r="B159" s="47">
        <v>-4267965</v>
      </c>
      <c r="G159" s="47">
        <f>SUM(B159:F159)</f>
        <v>-4267965</v>
      </c>
    </row>
    <row r="160" spans="1:13" ht="15">
      <c r="A160" s="45" t="s">
        <v>551</v>
      </c>
      <c r="B160" s="48">
        <f>SUM(B158:B159)</f>
        <v>-4437452</v>
      </c>
      <c r="C160" s="48">
        <f t="shared" ref="C160:G160" si="15">SUM(C158:C159)</f>
        <v>0</v>
      </c>
      <c r="D160" s="48">
        <f t="shared" si="15"/>
        <v>0</v>
      </c>
      <c r="E160" s="48">
        <f t="shared" si="15"/>
        <v>0</v>
      </c>
      <c r="F160" s="48">
        <f t="shared" si="15"/>
        <v>0</v>
      </c>
      <c r="G160" s="48">
        <f t="shared" si="15"/>
        <v>-4437452</v>
      </c>
    </row>
    <row r="161" spans="1:7" ht="15">
      <c r="A161" s="10" t="s">
        <v>383</v>
      </c>
    </row>
    <row r="162" spans="1:7">
      <c r="A162" s="5" t="s">
        <v>182</v>
      </c>
      <c r="B162" s="47">
        <v>4462452</v>
      </c>
      <c r="D162" s="47">
        <v>25000</v>
      </c>
      <c r="E162" s="47">
        <v>71900</v>
      </c>
      <c r="F162" s="47">
        <v>143000</v>
      </c>
      <c r="G162" s="47">
        <f>SUM(B162:F162)</f>
        <v>4702352</v>
      </c>
    </row>
    <row r="163" spans="1:7" ht="15">
      <c r="A163" s="52" t="s">
        <v>552</v>
      </c>
      <c r="B163" s="48">
        <f>B162</f>
        <v>4462452</v>
      </c>
      <c r="C163" s="48">
        <f t="shared" ref="C163:G163" si="16">C162</f>
        <v>0</v>
      </c>
      <c r="D163" s="48">
        <f t="shared" si="16"/>
        <v>25000</v>
      </c>
      <c r="E163" s="48">
        <f t="shared" si="16"/>
        <v>71900</v>
      </c>
      <c r="F163" s="48">
        <f t="shared" si="16"/>
        <v>143000</v>
      </c>
      <c r="G163" s="48">
        <f t="shared" si="16"/>
        <v>4702352</v>
      </c>
    </row>
    <row r="164" spans="1:7" ht="15">
      <c r="A164" s="10" t="s">
        <v>553</v>
      </c>
      <c r="B164" s="50">
        <f>B160+B163</f>
        <v>25000</v>
      </c>
      <c r="C164" s="50">
        <f t="shared" ref="C164:G164" si="17">C160+C163</f>
        <v>0</v>
      </c>
      <c r="D164" s="50">
        <f t="shared" si="17"/>
        <v>25000</v>
      </c>
      <c r="E164" s="50">
        <f t="shared" si="17"/>
        <v>71900</v>
      </c>
      <c r="F164" s="50">
        <f t="shared" si="17"/>
        <v>143000</v>
      </c>
      <c r="G164" s="50">
        <f t="shared" si="17"/>
        <v>264900</v>
      </c>
    </row>
    <row r="166" spans="1:7" ht="15.75" thickBot="1">
      <c r="A166" s="10" t="s">
        <v>554</v>
      </c>
      <c r="B166" s="53">
        <f>B153+B164</f>
        <v>-353530.32319999998</v>
      </c>
      <c r="C166" s="53">
        <f t="shared" ref="C166:G166" si="18">C153+C164</f>
        <v>-37214.774025000166</v>
      </c>
      <c r="D166" s="53">
        <f t="shared" si="18"/>
        <v>135314.27400000021</v>
      </c>
      <c r="E166" s="53">
        <f t="shared" si="18"/>
        <v>-82128.696800000034</v>
      </c>
      <c r="F166" s="53">
        <f t="shared" si="18"/>
        <v>2904257.9362824615</v>
      </c>
      <c r="G166" s="53">
        <f t="shared" si="18"/>
        <v>2566698.4162574615</v>
      </c>
    </row>
    <row r="167" spans="1:7" ht="15" thickTop="1"/>
    <row r="281" spans="1:7">
      <c r="A281" t="s">
        <v>358</v>
      </c>
      <c r="B281" s="47">
        <v>-375015.37119999994</v>
      </c>
      <c r="C281" s="47">
        <v>-31734.798425000045</v>
      </c>
      <c r="D281" s="47">
        <v>-359821.70360000007</v>
      </c>
      <c r="E281" s="47">
        <v>-68521.196799999991</v>
      </c>
      <c r="F281" s="47">
        <v>-1698051.7355500001</v>
      </c>
      <c r="G281" s="47">
        <v>-2533144.8055750001</v>
      </c>
    </row>
  </sheetData>
  <mergeCells count="1">
    <mergeCell ref="A1:G1"/>
  </mergeCells>
  <pageMargins left="0.11811023622047245" right="0.11811023622047245" top="0.35433070866141736" bottom="0.15748031496062992" header="0.31496062992125984" footer="0.31496062992125984"/>
  <pageSetup paperSize="9" scale="94" fitToHeight="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1"/>
  <sheetViews>
    <sheetView tabSelected="1" showWhiteSpace="0" zoomScaleNormal="100" workbookViewId="0">
      <selection sqref="A1:F1"/>
    </sheetView>
  </sheetViews>
  <sheetFormatPr defaultRowHeight="12.75"/>
  <cols>
    <col min="1" max="2" width="9" style="26"/>
    <col min="3" max="3" width="20.875" style="26" customWidth="1"/>
    <col min="4" max="4" width="11.75" style="26" bestFit="1" customWidth="1"/>
    <col min="5" max="5" width="10.25" style="26" customWidth="1"/>
    <col min="6" max="6" width="10" style="26" customWidth="1"/>
    <col min="7" max="7" width="0" style="26" hidden="1" customWidth="1"/>
    <col min="8" max="8" width="15" style="26" hidden="1" customWidth="1"/>
    <col min="9" max="11" width="0" style="26" hidden="1" customWidth="1"/>
    <col min="12" max="16384" width="9" style="26"/>
  </cols>
  <sheetData>
    <row r="1" spans="1:10" ht="14.25" customHeight="1">
      <c r="A1" s="68" t="s">
        <v>508</v>
      </c>
      <c r="B1" s="68"/>
      <c r="C1" s="68"/>
      <c r="D1" s="68"/>
      <c r="E1" s="68"/>
      <c r="F1" s="68"/>
    </row>
    <row r="2" spans="1:10" ht="14.25" customHeight="1">
      <c r="A2" s="68" t="s">
        <v>561</v>
      </c>
      <c r="B2" s="68"/>
      <c r="C2" s="68"/>
      <c r="D2" s="68"/>
      <c r="E2" s="68"/>
      <c r="F2" s="68"/>
    </row>
    <row r="4" spans="1:10">
      <c r="B4" s="33"/>
      <c r="D4" s="31"/>
      <c r="E4" s="31"/>
      <c r="F4" s="31"/>
      <c r="G4" s="31"/>
      <c r="H4" s="31"/>
      <c r="I4" s="31"/>
      <c r="J4" s="31"/>
    </row>
    <row r="5" spans="1:10">
      <c r="D5" s="59" t="s">
        <v>531</v>
      </c>
      <c r="E5" s="59" t="s">
        <v>530</v>
      </c>
      <c r="F5" s="59" t="s">
        <v>560</v>
      </c>
    </row>
    <row r="6" spans="1:10">
      <c r="A6" s="33" t="s">
        <v>558</v>
      </c>
    </row>
    <row r="7" spans="1:10">
      <c r="A7" s="26" t="s">
        <v>372</v>
      </c>
      <c r="D7" s="30">
        <f>-'Budget Summary'!G6</f>
        <v>235200</v>
      </c>
      <c r="E7" s="27">
        <f t="shared" ref="E7:F7" si="0">D7*1.02</f>
        <v>239904</v>
      </c>
      <c r="F7" s="27">
        <f t="shared" si="0"/>
        <v>244702.08000000002</v>
      </c>
    </row>
    <row r="8" spans="1:10">
      <c r="A8" s="26" t="s">
        <v>240</v>
      </c>
      <c r="D8" s="30">
        <f>-'Budget Summary'!G21</f>
        <v>241038.75</v>
      </c>
      <c r="E8" s="27">
        <f t="shared" ref="E8:F8" si="1">D8*1.02</f>
        <v>245859.52499999999</v>
      </c>
      <c r="F8" s="27">
        <f t="shared" si="1"/>
        <v>250776.71549999999</v>
      </c>
    </row>
    <row r="9" spans="1:10">
      <c r="A9" s="26" t="s">
        <v>570</v>
      </c>
      <c r="D9" s="30">
        <f>-'Budget Summary'!G27</f>
        <v>1000000</v>
      </c>
      <c r="E9" s="27">
        <f t="shared" ref="E9:F9" si="2">D9*1.02</f>
        <v>1020000</v>
      </c>
      <c r="F9" s="27">
        <f t="shared" si="2"/>
        <v>1040400</v>
      </c>
    </row>
    <row r="10" spans="1:10">
      <c r="A10" s="26" t="s">
        <v>245</v>
      </c>
      <c r="D10" s="30">
        <f>-'Budget Summary'!G30</f>
        <v>230000</v>
      </c>
      <c r="E10" s="27">
        <f t="shared" ref="E10:F10" si="3">D10*1.02</f>
        <v>234600</v>
      </c>
      <c r="F10" s="27">
        <f t="shared" si="3"/>
        <v>239292</v>
      </c>
    </row>
    <row r="11" spans="1:10">
      <c r="A11" s="26" t="s">
        <v>378</v>
      </c>
      <c r="D11" s="30">
        <f>-'Budget Summary'!G43</f>
        <v>4279341</v>
      </c>
      <c r="E11" s="27">
        <f t="shared" ref="E11:F11" si="4">D11*1.02</f>
        <v>4364927.82</v>
      </c>
      <c r="F11" s="27">
        <f t="shared" si="4"/>
        <v>4452226.3764000004</v>
      </c>
    </row>
    <row r="12" spans="1:10">
      <c r="A12" s="31" t="s">
        <v>377</v>
      </c>
      <c r="D12" s="30">
        <f>-'Budget Summary'!G53</f>
        <v>148000</v>
      </c>
      <c r="E12" s="27">
        <f t="shared" ref="E12:F12" si="5">D12*1.02</f>
        <v>150960</v>
      </c>
      <c r="F12" s="27">
        <f t="shared" si="5"/>
        <v>153979.20000000001</v>
      </c>
    </row>
    <row r="13" spans="1:10">
      <c r="A13" s="31" t="s">
        <v>379</v>
      </c>
      <c r="D13" s="37">
        <f>-'Budget Summary'!G60</f>
        <v>5761897</v>
      </c>
      <c r="E13" s="36">
        <f t="shared" ref="E13:F13" si="6">D13*1.02</f>
        <v>5877134.9400000004</v>
      </c>
      <c r="F13" s="36">
        <f t="shared" si="6"/>
        <v>5994677.6388000008</v>
      </c>
    </row>
    <row r="14" spans="1:10">
      <c r="A14" s="33" t="s">
        <v>529</v>
      </c>
      <c r="D14" s="30">
        <f>SUM(D7:D13)</f>
        <v>11895476.75</v>
      </c>
      <c r="E14" s="32">
        <f>SUM(E7:E13)</f>
        <v>12133386.285</v>
      </c>
      <c r="F14" s="32">
        <f>SUM(F7:F13)</f>
        <v>12376054.010700002</v>
      </c>
    </row>
    <row r="15" spans="1:10">
      <c r="D15" s="33"/>
      <c r="E15" s="27"/>
      <c r="F15" s="27"/>
    </row>
    <row r="16" spans="1:10">
      <c r="A16" s="33" t="s">
        <v>541</v>
      </c>
      <c r="D16" s="33"/>
      <c r="E16" s="27"/>
      <c r="F16" s="27"/>
    </row>
    <row r="17" spans="1:6">
      <c r="A17" s="26" t="s">
        <v>571</v>
      </c>
      <c r="D17" s="30">
        <f>'Budget Summary'!G83</f>
        <v>781000</v>
      </c>
      <c r="E17" s="43">
        <f t="shared" ref="E17:F20" si="7">D17*1.02</f>
        <v>796620</v>
      </c>
      <c r="F17" s="43">
        <f t="shared" si="7"/>
        <v>812552.4</v>
      </c>
    </row>
    <row r="18" spans="1:6">
      <c r="A18" s="26" t="s">
        <v>572</v>
      </c>
      <c r="D18" s="30">
        <f>'Budget Summary'!G76</f>
        <v>4613390.1992250001</v>
      </c>
      <c r="E18" s="43">
        <f t="shared" ref="E18" si="8">D18*1.02</f>
        <v>4705658.0032095006</v>
      </c>
      <c r="F18" s="43">
        <f t="shared" si="7"/>
        <v>4799771.1632736903</v>
      </c>
    </row>
    <row r="19" spans="1:6">
      <c r="A19" s="26" t="s">
        <v>112</v>
      </c>
      <c r="D19" s="30">
        <f>'Budget Summary'!G143</f>
        <v>4274795.9951999998</v>
      </c>
      <c r="E19" s="43">
        <f t="shared" ref="E19" si="9">D19*1.02</f>
        <v>4360291.9151039999</v>
      </c>
      <c r="F19" s="43">
        <f t="shared" si="7"/>
        <v>4447497.7534060804</v>
      </c>
    </row>
    <row r="20" spans="1:6">
      <c r="A20" s="26" t="s">
        <v>230</v>
      </c>
      <c r="D20" s="44">
        <f>'Budget Summary'!G147</f>
        <v>22000</v>
      </c>
      <c r="E20" s="43">
        <f t="shared" ref="E20" si="10">D20*1.02</f>
        <v>22440</v>
      </c>
      <c r="F20" s="43">
        <f t="shared" si="7"/>
        <v>22888.799999999999</v>
      </c>
    </row>
    <row r="21" spans="1:6">
      <c r="A21" s="33" t="s">
        <v>527</v>
      </c>
      <c r="D21" s="35">
        <f>SUM(D17:D20)</f>
        <v>9691186.1944249999</v>
      </c>
      <c r="E21" s="42">
        <f>SUM(E17:E20)</f>
        <v>9885009.9183134995</v>
      </c>
      <c r="F21" s="42">
        <f>SUM(F17:F20)</f>
        <v>10082710.116679773</v>
      </c>
    </row>
    <row r="22" spans="1:6">
      <c r="A22" s="33"/>
      <c r="D22" s="44"/>
      <c r="E22" s="62"/>
      <c r="F22" s="62"/>
    </row>
    <row r="23" spans="1:6">
      <c r="A23" s="33" t="s">
        <v>569</v>
      </c>
      <c r="B23" s="60"/>
      <c r="D23" s="30">
        <f>D14-D21</f>
        <v>2204290.5555750001</v>
      </c>
      <c r="E23" s="32">
        <f>E14-E21</f>
        <v>2248376.3666865006</v>
      </c>
      <c r="F23" s="32">
        <f>F14-F21</f>
        <v>2293343.8940202296</v>
      </c>
    </row>
    <row r="24" spans="1:6">
      <c r="A24" s="26" t="s">
        <v>544</v>
      </c>
      <c r="D24" s="58">
        <f>'Budget Summary'!G150</f>
        <v>4506088.9718324626</v>
      </c>
      <c r="E24" s="58">
        <f>D24*1.02</f>
        <v>4596210.7512691123</v>
      </c>
      <c r="F24" s="58">
        <f>E24*1.02</f>
        <v>4688134.9662944945</v>
      </c>
    </row>
    <row r="25" spans="1:6">
      <c r="D25" s="33"/>
      <c r="E25" s="31"/>
      <c r="F25" s="31"/>
    </row>
    <row r="26" spans="1:6" ht="13.5" thickBot="1">
      <c r="A26" s="33" t="s">
        <v>557</v>
      </c>
      <c r="D26" s="29">
        <f>D23-D24</f>
        <v>-2301798.4162574625</v>
      </c>
      <c r="E26" s="41">
        <f>E23-E24</f>
        <v>-2347834.3845826117</v>
      </c>
      <c r="F26" s="41">
        <f>F23-F24</f>
        <v>-2394791.0722742649</v>
      </c>
    </row>
    <row r="27" spans="1:6" ht="13.5" thickTop="1"/>
    <row r="28" spans="1:6">
      <c r="A28" s="33" t="s">
        <v>550</v>
      </c>
    </row>
    <row r="29" spans="1:6">
      <c r="A29" s="31" t="s">
        <v>548</v>
      </c>
      <c r="D29" s="30">
        <f>-'Budget Summary'!G160</f>
        <v>4437452</v>
      </c>
      <c r="E29" s="65">
        <f>D29*1.02</f>
        <v>4526201.04</v>
      </c>
      <c r="F29" s="27">
        <f>E29*1.02</f>
        <v>4616725.0608000001</v>
      </c>
    </row>
    <row r="30" spans="1:6">
      <c r="A30" s="31" t="s">
        <v>383</v>
      </c>
      <c r="D30" s="30">
        <f>'Budget Summary'!G163</f>
        <v>4702352</v>
      </c>
      <c r="E30" s="66">
        <f>D30*1.02</f>
        <v>4796399.04</v>
      </c>
      <c r="F30" s="27">
        <f>E30*1.02</f>
        <v>4892327.0208000001</v>
      </c>
    </row>
    <row r="31" spans="1:6" ht="13.5" thickBot="1">
      <c r="A31" s="33" t="s">
        <v>559</v>
      </c>
      <c r="D31" s="29">
        <f>D29-D30</f>
        <v>-264900</v>
      </c>
      <c r="E31" s="41">
        <f t="shared" ref="E31:F31" si="11">E29-E30</f>
        <v>-270198</v>
      </c>
      <c r="F31" s="41">
        <f t="shared" si="11"/>
        <v>-275601.95999999996</v>
      </c>
    </row>
    <row r="32" spans="1:6" ht="13.5" thickTop="1">
      <c r="A32" s="31"/>
    </row>
    <row r="33" spans="1:6" ht="13.5" thickBot="1">
      <c r="A33" s="33" t="s">
        <v>554</v>
      </c>
      <c r="D33" s="29">
        <f>D26+D31</f>
        <v>-2566698.4162574625</v>
      </c>
      <c r="E33" s="28">
        <f t="shared" ref="E33:F33" si="12">E26+E31</f>
        <v>-2618032.3845826117</v>
      </c>
      <c r="F33" s="28">
        <f t="shared" si="12"/>
        <v>-2670393.0322742648</v>
      </c>
    </row>
    <row r="34" spans="1:6" ht="13.5" thickTop="1">
      <c r="A34" s="31"/>
    </row>
    <row r="35" spans="1:6" s="33" customFormat="1">
      <c r="A35" s="33" t="s">
        <v>588</v>
      </c>
      <c r="D35" s="69">
        <f>D30/D24</f>
        <v>1.0435550716806474</v>
      </c>
      <c r="E35" s="69">
        <f t="shared" ref="E35:F35" si="13">E30/E24</f>
        <v>1.0435550716806472</v>
      </c>
      <c r="F35" s="69">
        <f t="shared" si="13"/>
        <v>1.0435550716806472</v>
      </c>
    </row>
    <row r="36" spans="1:6" s="33" customFormat="1">
      <c r="A36" s="33" t="s">
        <v>589</v>
      </c>
      <c r="D36" s="69">
        <f>((D26-D29)+D30)/D14</f>
        <v>-0.17123302067380045</v>
      </c>
      <c r="E36" s="69">
        <f t="shared" ref="E36:F36" si="14">((E26-E29)+E30)/E14</f>
        <v>-0.17123302067380045</v>
      </c>
      <c r="F36" s="69">
        <f t="shared" si="14"/>
        <v>-0.17123302067380047</v>
      </c>
    </row>
    <row r="37" spans="1:6" s="33" customFormat="1">
      <c r="A37" s="33" t="s">
        <v>590</v>
      </c>
      <c r="D37" s="69">
        <f>(D45-D55)/D14</f>
        <v>-0.81838670316429307</v>
      </c>
      <c r="E37" s="69">
        <f>(E45-E55)/E14</f>
        <v>-0.94891774523067529</v>
      </c>
      <c r="F37" s="69">
        <f>(F45-F55)/F14</f>
        <v>-1.0768893550996774</v>
      </c>
    </row>
    <row r="38" spans="1:6" s="33" customFormat="1">
      <c r="D38" s="69"/>
    </row>
    <row r="40" spans="1:6">
      <c r="A40" s="33" t="s">
        <v>526</v>
      </c>
      <c r="D40" s="31" t="s">
        <v>525</v>
      </c>
    </row>
    <row r="41" spans="1:6">
      <c r="A41" s="31" t="s">
        <v>524</v>
      </c>
      <c r="D41" s="27">
        <f>D14-D10-D13</f>
        <v>5903579.75</v>
      </c>
      <c r="E41" s="27">
        <f t="shared" ref="E41:F41" si="15">E14-E10-E13</f>
        <v>6021651.3449999997</v>
      </c>
      <c r="F41" s="27">
        <f t="shared" si="15"/>
        <v>6142084.3719000015</v>
      </c>
    </row>
    <row r="42" spans="1:6">
      <c r="A42" s="31" t="s">
        <v>523</v>
      </c>
      <c r="D42" s="27">
        <f>-D21</f>
        <v>-9691186.1944249999</v>
      </c>
      <c r="E42" s="27">
        <f>-E21</f>
        <v>-9885009.9183134995</v>
      </c>
      <c r="F42" s="27">
        <f>-F21</f>
        <v>-10082710.116679773</v>
      </c>
    </row>
    <row r="43" spans="1:6">
      <c r="A43" s="31" t="s">
        <v>245</v>
      </c>
      <c r="D43" s="27">
        <f>D10</f>
        <v>230000</v>
      </c>
      <c r="E43" s="27">
        <f>D43*1.02</f>
        <v>234600</v>
      </c>
      <c r="F43" s="27">
        <f>E43*1.02</f>
        <v>239292</v>
      </c>
    </row>
    <row r="44" spans="1:6">
      <c r="A44" s="31" t="s">
        <v>379</v>
      </c>
      <c r="D44" s="36">
        <f>D13+'Budget Summary'!G57</f>
        <v>5606290</v>
      </c>
      <c r="E44" s="36">
        <f>D44*1.02</f>
        <v>5718415.7999999998</v>
      </c>
      <c r="F44" s="36">
        <f>E44*1.02</f>
        <v>5832784.1159999995</v>
      </c>
    </row>
    <row r="45" spans="1:6">
      <c r="A45" s="31" t="s">
        <v>563</v>
      </c>
      <c r="D45" s="30">
        <f>SUM(D41:D44)</f>
        <v>2048683.5555750001</v>
      </c>
      <c r="E45" s="30">
        <f>SUM(E41:E44)</f>
        <v>2089657.2266865</v>
      </c>
      <c r="F45" s="30">
        <f>SUM(F41:F44)</f>
        <v>2131450.3712202283</v>
      </c>
    </row>
    <row r="46" spans="1:6">
      <c r="D46" s="27"/>
      <c r="E46" s="27"/>
      <c r="F46" s="27"/>
    </row>
    <row r="47" spans="1:6">
      <c r="A47" s="33" t="s">
        <v>522</v>
      </c>
      <c r="D47" s="27"/>
      <c r="E47" s="27"/>
      <c r="F47" s="27"/>
    </row>
    <row r="48" spans="1:6">
      <c r="A48" s="31" t="s">
        <v>521</v>
      </c>
      <c r="D48" s="27">
        <f>-'Budget Summary'!G163</f>
        <v>-4702352</v>
      </c>
      <c r="E48" s="27">
        <f>-E30</f>
        <v>-4796399.04</v>
      </c>
      <c r="F48" s="27">
        <f>-F30</f>
        <v>-4892327.0208000001</v>
      </c>
    </row>
    <row r="49" spans="1:6">
      <c r="A49" s="31" t="s">
        <v>379</v>
      </c>
      <c r="D49" s="36">
        <f>-'Budget Summary'!G160</f>
        <v>4437452</v>
      </c>
      <c r="E49" s="36">
        <f>E29</f>
        <v>4526201.04</v>
      </c>
      <c r="F49" s="36">
        <f>F29</f>
        <v>4616725.0608000001</v>
      </c>
    </row>
    <row r="50" spans="1:6" hidden="1">
      <c r="A50" s="31" t="s">
        <v>520</v>
      </c>
      <c r="D50" s="36">
        <v>0</v>
      </c>
      <c r="E50" s="36">
        <v>0</v>
      </c>
      <c r="F50" s="36">
        <v>0</v>
      </c>
    </row>
    <row r="51" spans="1:6">
      <c r="A51" s="31" t="s">
        <v>562</v>
      </c>
      <c r="D51" s="30">
        <f>SUM(D48:D50)</f>
        <v>-264900</v>
      </c>
      <c r="E51" s="30">
        <f>SUM(E48:E50)</f>
        <v>-270198</v>
      </c>
      <c r="F51" s="30">
        <f>SUM(F48:F50)</f>
        <v>-275601.95999999996</v>
      </c>
    </row>
    <row r="52" spans="1:6">
      <c r="D52" s="27"/>
      <c r="E52" s="27"/>
      <c r="F52" s="27"/>
    </row>
    <row r="53" spans="1:6">
      <c r="A53" s="31" t="s">
        <v>564</v>
      </c>
      <c r="D53" s="30">
        <f>D45+D51</f>
        <v>1783783.5555750001</v>
      </c>
      <c r="E53" s="27">
        <f>E45+E51</f>
        <v>1819459.2266865</v>
      </c>
      <c r="F53" s="27">
        <f>F45+F51</f>
        <v>1855848.4112202283</v>
      </c>
    </row>
    <row r="54" spans="1:6">
      <c r="A54" s="31" t="s">
        <v>573</v>
      </c>
      <c r="D54" s="36">
        <v>10000000</v>
      </c>
      <c r="E54" s="36">
        <f>D55</f>
        <v>11783783.555575</v>
      </c>
      <c r="F54" s="36">
        <f>E55</f>
        <v>13603242.7822615</v>
      </c>
    </row>
    <row r="55" spans="1:6">
      <c r="A55" s="31" t="s">
        <v>574</v>
      </c>
      <c r="D55" s="27">
        <f>D53+D54</f>
        <v>11783783.555575</v>
      </c>
      <c r="E55" s="27">
        <f>E53+E54</f>
        <v>13603242.7822615</v>
      </c>
      <c r="F55" s="27">
        <f>F53+F54</f>
        <v>15459091.193481728</v>
      </c>
    </row>
    <row r="56" spans="1:6">
      <c r="D56" s="27"/>
      <c r="E56" s="27"/>
      <c r="F56" s="27"/>
    </row>
    <row r="57" spans="1:6">
      <c r="D57" s="27"/>
      <c r="E57" s="27"/>
      <c r="F57" s="27"/>
    </row>
    <row r="58" spans="1:6">
      <c r="D58" s="27"/>
      <c r="E58" s="27"/>
      <c r="F58" s="27"/>
    </row>
    <row r="59" spans="1:6">
      <c r="D59" s="27"/>
      <c r="E59" s="27"/>
      <c r="F59" s="27"/>
    </row>
    <row r="60" spans="1:6">
      <c r="D60" s="27"/>
      <c r="E60" s="27"/>
      <c r="F60" s="27"/>
    </row>
    <row r="61" spans="1:6">
      <c r="D61" s="27"/>
      <c r="E61" s="27"/>
      <c r="F61" s="27"/>
    </row>
    <row r="62" spans="1:6">
      <c r="D62" s="27"/>
      <c r="E62" s="27"/>
      <c r="F62" s="27"/>
    </row>
    <row r="63" spans="1:6">
      <c r="D63" s="27"/>
      <c r="E63" s="27"/>
      <c r="F63" s="27"/>
    </row>
    <row r="64" spans="1:6">
      <c r="D64" s="27"/>
      <c r="E64" s="27"/>
      <c r="F64" s="27"/>
    </row>
    <row r="65" spans="1:9">
      <c r="D65" s="27"/>
      <c r="E65" s="27"/>
      <c r="F65" s="27"/>
    </row>
    <row r="66" spans="1:9">
      <c r="D66" s="27"/>
      <c r="E66" s="27"/>
      <c r="F66" s="27"/>
    </row>
    <row r="67" spans="1:9">
      <c r="D67" s="27"/>
      <c r="E67" s="27"/>
      <c r="F67" s="27"/>
    </row>
    <row r="68" spans="1:9">
      <c r="D68" s="27"/>
      <c r="E68" s="27"/>
      <c r="F68" s="27"/>
    </row>
    <row r="69" spans="1:9" ht="14.25" customHeight="1">
      <c r="A69" s="68" t="s">
        <v>508</v>
      </c>
      <c r="B69" s="68"/>
      <c r="C69" s="68"/>
      <c r="D69" s="68"/>
      <c r="E69" s="68"/>
      <c r="F69" s="68"/>
    </row>
    <row r="70" spans="1:9" ht="14.25" customHeight="1">
      <c r="A70" s="68" t="str">
        <f>A2</f>
        <v>BUDGET FOR THE YEAR 1ST JULY 2016 TO 30 JUNE, 2017</v>
      </c>
      <c r="B70" s="68"/>
      <c r="C70" s="68"/>
      <c r="D70" s="68"/>
      <c r="E70" s="68"/>
      <c r="F70" s="68"/>
    </row>
    <row r="71" spans="1:9">
      <c r="D71" s="27"/>
      <c r="E71" s="27"/>
      <c r="F71" s="27"/>
    </row>
    <row r="72" spans="1:9">
      <c r="D72" s="27"/>
      <c r="E72" s="27"/>
      <c r="F72" s="27"/>
    </row>
    <row r="73" spans="1:9" ht="38.25">
      <c r="A73" s="33" t="s">
        <v>519</v>
      </c>
      <c r="D73" s="32" t="s">
        <v>518</v>
      </c>
      <c r="E73" s="40" t="s">
        <v>517</v>
      </c>
      <c r="F73" s="40" t="s">
        <v>486</v>
      </c>
      <c r="G73" s="40" t="s">
        <v>485</v>
      </c>
    </row>
    <row r="74" spans="1:9">
      <c r="D74" s="27"/>
      <c r="E74" s="27"/>
      <c r="F74" s="27"/>
    </row>
    <row r="75" spans="1:9">
      <c r="A75" s="31" t="s">
        <v>575</v>
      </c>
      <c r="D75" s="27">
        <v>122261803</v>
      </c>
      <c r="E75" s="27">
        <v>32653524</v>
      </c>
      <c r="F75" s="27">
        <v>89758850</v>
      </c>
      <c r="G75" s="27">
        <v>0</v>
      </c>
      <c r="I75" s="63" t="s">
        <v>579</v>
      </c>
    </row>
    <row r="76" spans="1:9">
      <c r="A76" s="31" t="s">
        <v>516</v>
      </c>
      <c r="D76" s="27">
        <f>SUM(E76:G76)</f>
        <v>-2566698.4162574625</v>
      </c>
      <c r="E76" s="32">
        <f>D33</f>
        <v>-2566698.4162574625</v>
      </c>
      <c r="F76" s="27"/>
    </row>
    <row r="77" spans="1:9">
      <c r="A77" s="31" t="s">
        <v>515</v>
      </c>
      <c r="D77" s="27"/>
      <c r="E77" s="27"/>
      <c r="F77" s="27"/>
    </row>
    <row r="78" spans="1:9">
      <c r="A78" s="31" t="s">
        <v>514</v>
      </c>
      <c r="D78" s="27"/>
      <c r="E78" s="27"/>
      <c r="F78" s="27"/>
    </row>
    <row r="79" spans="1:9">
      <c r="A79" s="31" t="s">
        <v>513</v>
      </c>
      <c r="D79" s="36"/>
      <c r="E79" s="36"/>
      <c r="F79" s="36"/>
      <c r="G79" s="39"/>
    </row>
    <row r="80" spans="1:9">
      <c r="A80" s="31" t="s">
        <v>576</v>
      </c>
      <c r="D80" s="27">
        <f>SUM(D75:D79)</f>
        <v>119695104.58374254</v>
      </c>
      <c r="E80" s="27">
        <f>SUM(E75:E79)</f>
        <v>30086825.583742537</v>
      </c>
      <c r="F80" s="27">
        <f>SUM(F75:F79)</f>
        <v>89758850</v>
      </c>
      <c r="G80" s="27">
        <f>SUM(G75:G79)</f>
        <v>0</v>
      </c>
    </row>
    <row r="81" spans="1:8">
      <c r="A81" s="31" t="s">
        <v>516</v>
      </c>
      <c r="D81" s="27">
        <f>SUM(E81:G81)</f>
        <v>-2618032.3845826117</v>
      </c>
      <c r="E81" s="27">
        <f>E33</f>
        <v>-2618032.3845826117</v>
      </c>
      <c r="F81" s="27"/>
    </row>
    <row r="82" spans="1:8">
      <c r="A82" s="31" t="s">
        <v>515</v>
      </c>
      <c r="D82" s="27"/>
      <c r="E82" s="27"/>
      <c r="F82" s="27"/>
    </row>
    <row r="83" spans="1:8">
      <c r="A83" s="31" t="s">
        <v>514</v>
      </c>
      <c r="D83" s="27"/>
      <c r="E83" s="27"/>
      <c r="F83" s="27"/>
    </row>
    <row r="84" spans="1:8">
      <c r="A84" s="31" t="s">
        <v>513</v>
      </c>
      <c r="D84" s="36"/>
      <c r="E84" s="36"/>
      <c r="F84" s="36"/>
      <c r="G84" s="39"/>
    </row>
    <row r="85" spans="1:8">
      <c r="A85" s="31" t="s">
        <v>577</v>
      </c>
      <c r="D85" s="27">
        <f>SUM(D80:D84)</f>
        <v>117077072.19915994</v>
      </c>
      <c r="E85" s="27">
        <f>SUM(E80:E84)</f>
        <v>27468793.199159924</v>
      </c>
      <c r="F85" s="27">
        <f>SUM(F80:F84)</f>
        <v>89758850</v>
      </c>
      <c r="G85" s="27">
        <f>SUM(G80:G84)</f>
        <v>0</v>
      </c>
    </row>
    <row r="86" spans="1:8">
      <c r="A86" s="31" t="s">
        <v>516</v>
      </c>
      <c r="D86" s="27">
        <f>SUM(E86:G86)</f>
        <v>-2670393.0322742648</v>
      </c>
      <c r="E86" s="27">
        <f>F33</f>
        <v>-2670393.0322742648</v>
      </c>
      <c r="F86" s="27"/>
    </row>
    <row r="87" spans="1:8">
      <c r="A87" s="31" t="s">
        <v>515</v>
      </c>
      <c r="D87" s="27"/>
      <c r="E87" s="27"/>
      <c r="F87" s="27"/>
    </row>
    <row r="88" spans="1:8">
      <c r="A88" s="31" t="s">
        <v>514</v>
      </c>
      <c r="D88" s="27"/>
      <c r="E88" s="27"/>
      <c r="F88" s="27"/>
    </row>
    <row r="89" spans="1:8">
      <c r="A89" s="31" t="s">
        <v>513</v>
      </c>
      <c r="D89" s="36"/>
      <c r="E89" s="36"/>
      <c r="F89" s="36"/>
      <c r="G89" s="39"/>
    </row>
    <row r="90" spans="1:8">
      <c r="A90" s="31" t="s">
        <v>578</v>
      </c>
      <c r="D90" s="27">
        <f>SUM(D85:D89)</f>
        <v>114406679.16688567</v>
      </c>
      <c r="E90" s="27">
        <f>SUM(E85:E89)</f>
        <v>24798400.166885659</v>
      </c>
      <c r="F90" s="27">
        <f>SUM(F85:F89)</f>
        <v>89758850</v>
      </c>
      <c r="G90" s="27">
        <f>SUM(G85:G89)</f>
        <v>0</v>
      </c>
    </row>
    <row r="91" spans="1:8">
      <c r="D91" s="27"/>
      <c r="E91" s="27"/>
      <c r="F91" s="27"/>
    </row>
    <row r="92" spans="1:8">
      <c r="D92" s="27"/>
      <c r="E92" s="27"/>
      <c r="F92" s="27"/>
    </row>
    <row r="93" spans="1:8">
      <c r="D93" s="27"/>
      <c r="E93" s="27"/>
      <c r="F93" s="27"/>
    </row>
    <row r="94" spans="1:8">
      <c r="A94" s="33" t="s">
        <v>512</v>
      </c>
      <c r="D94" s="38" t="str">
        <f>D5</f>
        <v>2016/17</v>
      </c>
      <c r="E94" s="38" t="str">
        <f t="shared" ref="E94:F94" si="16">E5</f>
        <v>2017/18</v>
      </c>
      <c r="F94" s="38" t="str">
        <f t="shared" si="16"/>
        <v>2018/19</v>
      </c>
      <c r="H94" s="63" t="s">
        <v>580</v>
      </c>
    </row>
    <row r="95" spans="1:8">
      <c r="D95" s="27"/>
      <c r="E95" s="27"/>
      <c r="F95" s="27"/>
      <c r="H95" s="64"/>
    </row>
    <row r="96" spans="1:8">
      <c r="A96" s="31" t="s">
        <v>511</v>
      </c>
      <c r="D96" s="27">
        <f>D76</f>
        <v>-2566698.4162574625</v>
      </c>
      <c r="E96" s="27">
        <f>D81</f>
        <v>-2618032.3845826117</v>
      </c>
      <c r="F96" s="27">
        <f>D86</f>
        <v>-2670393.0322742648</v>
      </c>
      <c r="H96" s="64"/>
    </row>
    <row r="97" spans="1:8">
      <c r="A97" s="31" t="s">
        <v>510</v>
      </c>
      <c r="D97" s="36"/>
      <c r="E97" s="36"/>
      <c r="F97" s="36"/>
      <c r="H97" s="64"/>
    </row>
    <row r="98" spans="1:8">
      <c r="D98" s="27">
        <f>SUM(D96:D97)</f>
        <v>-2566698.4162574625</v>
      </c>
      <c r="E98" s="27">
        <f>SUM(E96:E97)</f>
        <v>-2618032.3845826117</v>
      </c>
      <c r="F98" s="27">
        <f>SUM(F96:F97)</f>
        <v>-2670393.0322742648</v>
      </c>
      <c r="H98" s="64"/>
    </row>
    <row r="99" spans="1:8">
      <c r="A99" s="31" t="s">
        <v>509</v>
      </c>
      <c r="D99" s="27"/>
      <c r="E99" s="27"/>
      <c r="F99" s="27"/>
      <c r="H99" s="64"/>
    </row>
    <row r="100" spans="1:8">
      <c r="A100" s="31" t="s">
        <v>567</v>
      </c>
      <c r="D100" s="36">
        <f>E75</f>
        <v>32653524</v>
      </c>
      <c r="E100" s="36">
        <f>D101</f>
        <v>30086825.583742537</v>
      </c>
      <c r="F100" s="36">
        <f>E101</f>
        <v>27468793.199159924</v>
      </c>
      <c r="H100" s="64"/>
    </row>
    <row r="101" spans="1:8" ht="13.5" thickBot="1">
      <c r="D101" s="28">
        <f>SUM(D98:D100)</f>
        <v>30086825.583742537</v>
      </c>
      <c r="E101" s="28">
        <f>SUM(E98:E100)</f>
        <v>27468793.199159924</v>
      </c>
      <c r="F101" s="28">
        <f>SUM(F98:F100)</f>
        <v>24798400.166885659</v>
      </c>
      <c r="H101" s="64"/>
    </row>
    <row r="102" spans="1:8" ht="13.5" thickTop="1">
      <c r="D102" s="27"/>
      <c r="E102" s="27"/>
      <c r="F102" s="27"/>
    </row>
    <row r="103" spans="1:8">
      <c r="D103" s="27"/>
      <c r="E103" s="27"/>
      <c r="F103" s="27"/>
    </row>
    <row r="104" spans="1:8">
      <c r="D104" s="27"/>
      <c r="E104" s="27"/>
      <c r="F104" s="27"/>
    </row>
    <row r="105" spans="1:8">
      <c r="D105" s="27"/>
      <c r="E105" s="27"/>
      <c r="F105" s="27"/>
    </row>
    <row r="125" spans="1:6" ht="14.25" customHeight="1">
      <c r="A125" s="68" t="s">
        <v>508</v>
      </c>
      <c r="B125" s="68"/>
      <c r="C125" s="68"/>
      <c r="D125" s="68"/>
      <c r="E125" s="68"/>
      <c r="F125" s="68"/>
    </row>
    <row r="126" spans="1:6" ht="14.25" customHeight="1">
      <c r="A126" s="68" t="str">
        <f>A2</f>
        <v>BUDGET FOR THE YEAR 1ST JULY 2016 TO 30 JUNE, 2017</v>
      </c>
      <c r="B126" s="68"/>
      <c r="C126" s="68"/>
      <c r="D126" s="68"/>
      <c r="E126" s="68"/>
      <c r="F126" s="68"/>
    </row>
    <row r="127" spans="1:6">
      <c r="D127" s="27"/>
      <c r="E127" s="27"/>
      <c r="F127" s="27"/>
    </row>
    <row r="128" spans="1:6">
      <c r="A128" s="33" t="s">
        <v>507</v>
      </c>
      <c r="D128" s="38" t="str">
        <f>D94</f>
        <v>2016/17</v>
      </c>
      <c r="E128" s="38" t="str">
        <f>E94</f>
        <v>2017/18</v>
      </c>
      <c r="F128" s="38" t="str">
        <f>F94</f>
        <v>2018/19</v>
      </c>
    </row>
    <row r="129" spans="1:6">
      <c r="D129" s="33"/>
    </row>
    <row r="130" spans="1:6">
      <c r="A130" s="33" t="s">
        <v>506</v>
      </c>
      <c r="D130" s="33"/>
    </row>
    <row r="131" spans="1:6">
      <c r="A131" s="26" t="s">
        <v>505</v>
      </c>
      <c r="D131" s="30">
        <f>D55</f>
        <v>11783783.555575</v>
      </c>
      <c r="E131" s="27">
        <f>(D131*0.05)+D131</f>
        <v>12372972.733353751</v>
      </c>
      <c r="F131" s="27">
        <f>(E131*0.05)+E131</f>
        <v>12991621.370021438</v>
      </c>
    </row>
    <row r="132" spans="1:6">
      <c r="A132" s="31" t="s">
        <v>504</v>
      </c>
      <c r="D132" s="30">
        <v>217804</v>
      </c>
      <c r="E132" s="27">
        <v>149804</v>
      </c>
      <c r="F132" s="27">
        <v>149804</v>
      </c>
    </row>
    <row r="133" spans="1:6">
      <c r="A133" s="31" t="s">
        <v>503</v>
      </c>
      <c r="D133" s="37">
        <v>769714</v>
      </c>
      <c r="E133" s="36">
        <v>665606</v>
      </c>
      <c r="F133" s="36">
        <v>679453</v>
      </c>
    </row>
    <row r="134" spans="1:6">
      <c r="A134" s="31" t="s">
        <v>502</v>
      </c>
      <c r="D134" s="30">
        <f>SUM(D131:D133)</f>
        <v>12771301.555575</v>
      </c>
      <c r="E134" s="27">
        <f>SUM(E131:E133)</f>
        <v>13188382.733353751</v>
      </c>
      <c r="F134" s="27">
        <f>SUM(F131:F133)</f>
        <v>13820878.370021438</v>
      </c>
    </row>
    <row r="135" spans="1:6">
      <c r="D135" s="30"/>
      <c r="E135" s="27"/>
      <c r="F135" s="27"/>
    </row>
    <row r="136" spans="1:6">
      <c r="A136" s="33" t="s">
        <v>501</v>
      </c>
      <c r="D136" s="30"/>
      <c r="E136" s="27"/>
      <c r="F136" s="27"/>
    </row>
    <row r="137" spans="1:6">
      <c r="A137" s="31" t="s">
        <v>500</v>
      </c>
      <c r="D137" s="30">
        <v>40593659</v>
      </c>
      <c r="E137" s="27">
        <v>41109539</v>
      </c>
      <c r="F137" s="27">
        <v>38825854</v>
      </c>
    </row>
    <row r="138" spans="1:6">
      <c r="A138" s="31" t="s">
        <v>499</v>
      </c>
      <c r="D138" s="37">
        <v>0</v>
      </c>
      <c r="E138" s="36">
        <v>0</v>
      </c>
      <c r="F138" s="36">
        <v>0</v>
      </c>
    </row>
    <row r="139" spans="1:6">
      <c r="A139" s="31" t="s">
        <v>498</v>
      </c>
      <c r="D139" s="30">
        <f>SUM(D137:D138)</f>
        <v>40593659</v>
      </c>
      <c r="E139" s="27">
        <f>SUM(E137:E138)</f>
        <v>41109539</v>
      </c>
      <c r="F139" s="27">
        <f>SUM(F137:F138)</f>
        <v>38825854</v>
      </c>
    </row>
    <row r="140" spans="1:6">
      <c r="A140" s="31" t="s">
        <v>497</v>
      </c>
      <c r="D140" s="30">
        <f>D134+D139</f>
        <v>53364960.555574998</v>
      </c>
      <c r="E140" s="27">
        <f>E134+E139</f>
        <v>54297921.733353749</v>
      </c>
      <c r="F140" s="27">
        <f>F134+F139</f>
        <v>52646732.37002144</v>
      </c>
    </row>
    <row r="141" spans="1:6">
      <c r="D141" s="30"/>
      <c r="E141" s="27"/>
      <c r="F141" s="27"/>
    </row>
    <row r="142" spans="1:6">
      <c r="A142" s="33" t="s">
        <v>496</v>
      </c>
      <c r="D142" s="30"/>
      <c r="E142" s="27"/>
      <c r="F142" s="27"/>
    </row>
    <row r="143" spans="1:6">
      <c r="A143" s="31" t="s">
        <v>495</v>
      </c>
      <c r="D143" s="30"/>
      <c r="E143" s="27"/>
      <c r="F143" s="27"/>
    </row>
    <row r="144" spans="1:6">
      <c r="A144" s="31" t="s">
        <v>494</v>
      </c>
      <c r="D144" s="30">
        <v>491323</v>
      </c>
      <c r="E144" s="27">
        <v>501150</v>
      </c>
      <c r="F144" s="27">
        <v>511173</v>
      </c>
    </row>
    <row r="145" spans="1:6">
      <c r="A145" s="31" t="s">
        <v>493</v>
      </c>
      <c r="D145" s="37">
        <v>11972</v>
      </c>
      <c r="E145" s="36">
        <v>11972</v>
      </c>
      <c r="F145" s="36">
        <v>11972</v>
      </c>
    </row>
    <row r="146" spans="1:6">
      <c r="A146" s="31" t="s">
        <v>568</v>
      </c>
      <c r="D146" s="30">
        <f>SUM(D144:D145)</f>
        <v>503295</v>
      </c>
      <c r="E146" s="27">
        <f>SUM(E144:E145)</f>
        <v>513122</v>
      </c>
      <c r="F146" s="27">
        <f>SUM(F143:F145)</f>
        <v>523145</v>
      </c>
    </row>
    <row r="147" spans="1:6">
      <c r="D147" s="30"/>
      <c r="E147" s="27"/>
      <c r="F147" s="27"/>
    </row>
    <row r="148" spans="1:6">
      <c r="A148" s="33" t="s">
        <v>492</v>
      </c>
      <c r="D148" s="30"/>
      <c r="E148" s="27"/>
      <c r="F148" s="27"/>
    </row>
    <row r="149" spans="1:6">
      <c r="A149" s="31" t="s">
        <v>491</v>
      </c>
      <c r="D149" s="37">
        <v>60923</v>
      </c>
      <c r="E149" s="36">
        <v>60923</v>
      </c>
      <c r="F149" s="36">
        <v>60923</v>
      </c>
    </row>
    <row r="150" spans="1:6">
      <c r="A150" s="31" t="s">
        <v>490</v>
      </c>
      <c r="D150" s="35">
        <f>SUM(D149)</f>
        <v>60923</v>
      </c>
      <c r="E150" s="34">
        <f>SUM(E149)</f>
        <v>60923</v>
      </c>
      <c r="F150" s="34">
        <f>SUM(F149)</f>
        <v>60923</v>
      </c>
    </row>
    <row r="151" spans="1:6">
      <c r="A151" s="31" t="s">
        <v>489</v>
      </c>
      <c r="D151" s="30">
        <f>D146+D150</f>
        <v>564218</v>
      </c>
      <c r="E151" s="27">
        <f>E146+E150</f>
        <v>574045</v>
      </c>
      <c r="F151" s="27">
        <f>F146+F150</f>
        <v>584068</v>
      </c>
    </row>
    <row r="152" spans="1:6">
      <c r="D152" s="30"/>
      <c r="E152" s="27"/>
      <c r="F152" s="27"/>
    </row>
    <row r="153" spans="1:6" ht="13.5" thickBot="1">
      <c r="A153" s="33" t="s">
        <v>488</v>
      </c>
      <c r="B153" s="33"/>
      <c r="C153" s="33"/>
      <c r="D153" s="29">
        <f>D140-D151</f>
        <v>52800742.555574998</v>
      </c>
      <c r="E153" s="28">
        <f>E140-E151</f>
        <v>53723876.733353749</v>
      </c>
      <c r="F153" s="28">
        <f>F140-F151</f>
        <v>52062664.37002144</v>
      </c>
    </row>
    <row r="154" spans="1:6" ht="13.5" thickTop="1">
      <c r="D154" s="27"/>
      <c r="E154" s="27"/>
      <c r="F154" s="27"/>
    </row>
    <row r="155" spans="1:6">
      <c r="A155" s="33" t="s">
        <v>487</v>
      </c>
      <c r="D155" s="27"/>
      <c r="E155" s="27"/>
      <c r="F155" s="27"/>
    </row>
    <row r="156" spans="1:6">
      <c r="A156" s="31" t="s">
        <v>486</v>
      </c>
      <c r="D156" s="30">
        <v>89758850</v>
      </c>
      <c r="E156" s="32">
        <v>89758850</v>
      </c>
      <c r="F156" s="32">
        <v>89758850</v>
      </c>
    </row>
    <row r="157" spans="1:6">
      <c r="A157" s="31" t="s">
        <v>485</v>
      </c>
      <c r="D157" s="30">
        <v>971694</v>
      </c>
      <c r="E157" s="27">
        <v>971694</v>
      </c>
      <c r="F157" s="27">
        <v>971694</v>
      </c>
    </row>
    <row r="158" spans="1:6">
      <c r="A158" s="31" t="s">
        <v>484</v>
      </c>
      <c r="D158" s="30">
        <v>32653524</v>
      </c>
      <c r="E158" s="27">
        <v>31142049</v>
      </c>
      <c r="F158" s="27">
        <v>30559641</v>
      </c>
    </row>
    <row r="159" spans="1:6" ht="13.5" thickBot="1">
      <c r="D159" s="29">
        <f>SUM(D156:D158)</f>
        <v>123384068</v>
      </c>
      <c r="E159" s="28">
        <f>SUM(E156:E158)</f>
        <v>121872593</v>
      </c>
      <c r="F159" s="28">
        <f>SUM(F156:F158)</f>
        <v>121290185</v>
      </c>
    </row>
    <row r="160" spans="1:6" ht="13.5" thickTop="1"/>
    <row r="161" spans="4:6">
      <c r="D161" s="27"/>
      <c r="E161" s="27"/>
      <c r="F161" s="27"/>
    </row>
  </sheetData>
  <mergeCells count="6">
    <mergeCell ref="A69:F69"/>
    <mergeCell ref="A70:F70"/>
    <mergeCell ref="A125:F125"/>
    <mergeCell ref="A126:F126"/>
    <mergeCell ref="A1:F1"/>
    <mergeCell ref="A2:F2"/>
  </mergeCells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BUDGET</vt:lpstr>
      <vt:lpstr>IE</vt:lpstr>
      <vt:lpstr>PV Table</vt:lpstr>
      <vt:lpstr>Budget Summary</vt:lpstr>
      <vt:lpstr>Council Budget</vt:lpstr>
      <vt:lpstr>BUDGET!Print_Area</vt:lpstr>
      <vt:lpstr>'Budget Summary'!Print_Area</vt:lpstr>
    </vt:vector>
  </TitlesOfParts>
  <Company>Pormpuraaw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sfo</dc:creator>
  <cp:lastModifiedBy>finance</cp:lastModifiedBy>
  <cp:lastPrinted>2016-06-21T12:36:07Z</cp:lastPrinted>
  <dcterms:created xsi:type="dcterms:W3CDTF">2016-05-14T01:24:08Z</dcterms:created>
  <dcterms:modified xsi:type="dcterms:W3CDTF">2016-11-10T11:24:31Z</dcterms:modified>
</cp:coreProperties>
</file>